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20" yWindow="120" windowWidth="17400" windowHeight="7440" firstSheet="3" activeTab="6"/>
  </bookViews>
  <sheets>
    <sheet name="FLUJO EFVO COMPARATIVO NOV.2010" sheetId="1" r:id="rId1"/>
    <sheet name="1ERA FASE PROY BIB 31.OCT.09 " sheetId="2" r:id="rId2"/>
    <sheet name="OBRA CIVIL" sheetId="3" r:id="rId3"/>
    <sheet name="MOBILIARIO" sheetId="4" r:id="rId4"/>
    <sheet name="EQUIPO" sheetId="5" r:id="rId5"/>
    <sheet name="Concentrado totales dlls" sheetId="6" r:id="rId6"/>
    <sheet name="Gasto Real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B1" localSheetId="1">#REF!</definedName>
    <definedName name="_DB1">#REF!</definedName>
    <definedName name="\R" localSheetId="1">#REF!</definedName>
    <definedName name="\R">#REF!</definedName>
    <definedName name="A_impresión_IM" localSheetId="1">#REF!</definedName>
    <definedName name="A_impresión_IM">#REF!</definedName>
    <definedName name="AANT" localSheetId="1">#REF!</definedName>
    <definedName name="AANT">#REF!</definedName>
    <definedName name="ACTIVO" localSheetId="1">'[1]BALANCE'!#REF!</definedName>
    <definedName name="ACTIVO">'[1]BALANCE'!#REF!</definedName>
    <definedName name="ADMINISTRACION" localSheetId="1">#REF!</definedName>
    <definedName name="ADMINISTRACION">#REF!</definedName>
    <definedName name="anexo_13" localSheetId="1">#REF!</definedName>
    <definedName name="anexo_13">#REF!</definedName>
    <definedName name="anexo_14" localSheetId="1">#REF!</definedName>
    <definedName name="anexo_14">#REF!</definedName>
    <definedName name="anexo_15" localSheetId="1">#REF!</definedName>
    <definedName name="anexo_15">#REF!</definedName>
    <definedName name="anexo_16" localSheetId="1">#REF!</definedName>
    <definedName name="anexo_16">#REF!</definedName>
    <definedName name="AYB" localSheetId="1">#REF!</definedName>
    <definedName name="AYB">#REF!</definedName>
    <definedName name="CAPTURA" localSheetId="1">#REF!</definedName>
    <definedName name="CAPTURA">#REF!</definedName>
    <definedName name="CONDICION" localSheetId="1">#REF!</definedName>
    <definedName name="CONDICION">#REF!</definedName>
    <definedName name="CUARTOS" localSheetId="1">#REF!</definedName>
    <definedName name="CUARTOS">#REF!</definedName>
    <definedName name="DATOS" localSheetId="1">#REF!</definedName>
    <definedName name="DATOS">#REF!</definedName>
    <definedName name="EJE" localSheetId="1">#REF!</definedName>
    <definedName name="EJE">#REF!</definedName>
    <definedName name="Empleados_Activos_MP__PP__EV" localSheetId="1">#REF!</definedName>
    <definedName name="Empleados_Activos_MP__PP__EV">#REF!</definedName>
    <definedName name="Gtos.VariosII">'[2]EDO. RES. MES y ACUM. 13 a 16 '!$AU$8:$BF$120</definedName>
    <definedName name="HILG" localSheetId="1">#REF!</definedName>
    <definedName name="HILG">#REF!</definedName>
    <definedName name="HojaFlagsNoMes">'[3]flags'!$A$15</definedName>
    <definedName name="I" localSheetId="1">#REF!</definedName>
    <definedName name="I">#REF!</definedName>
    <definedName name="II" localSheetId="1">#REF!</definedName>
    <definedName name="II">#REF!</definedName>
    <definedName name="III" localSheetId="1">#REF!</definedName>
    <definedName name="III">#REF!</definedName>
    <definedName name="IV" localSheetId="1">#REF!</definedName>
    <definedName name="IV">#REF!</definedName>
    <definedName name="LAVANDERIA" localSheetId="1">#REF!</definedName>
    <definedName name="LAVANDERIA">#REF!</definedName>
    <definedName name="MAESTROS" localSheetId="1">#REF!</definedName>
    <definedName name="MAESTROS">#REF!</definedName>
    <definedName name="MINISUPER" localSheetId="1">#REF!</definedName>
    <definedName name="MINISUPER">#REF!</definedName>
    <definedName name="MMMM" localSheetId="1">#REF!</definedName>
    <definedName name="MMMM">#REF!</definedName>
    <definedName name="NUM" localSheetId="1">#REF!</definedName>
    <definedName name="NUM">#REF!</definedName>
    <definedName name="OTROS" localSheetId="1">#REF!</definedName>
    <definedName name="OTROS">#REF!</definedName>
    <definedName name="OTROSDEPTOS" localSheetId="1">#REF!</definedName>
    <definedName name="OTROSDEPTOS">#REF!</definedName>
    <definedName name="PERIODOS" localSheetId="1">#REF!</definedName>
    <definedName name="PERIODOS">#REF!</definedName>
    <definedName name="PPTO" localSheetId="1">#REF!</definedName>
    <definedName name="PPTO">#REF!</definedName>
    <definedName name="_xlnm.Print_Area" localSheetId="1">'1ERA FASE PROY BIB 31.OCT.09 '!$A$49:$J$87</definedName>
    <definedName name="_xlnm.Print_Area" localSheetId="0">'FLUJO EFVO COMPARATIVO NOV.2010'!$B$1:$N$43</definedName>
    <definedName name="_xlnm.Print_Area" localSheetId="3">'MOBILIARIO'!$A$1:$P$136</definedName>
    <definedName name="REAL" localSheetId="1">#REF!</definedName>
    <definedName name="REAL">#REF!</definedName>
    <definedName name="RENTASYCON" localSheetId="1">#REF!</definedName>
    <definedName name="RENTASYCON">#REF!</definedName>
    <definedName name="tcompleto" localSheetId="1">#REF!</definedName>
    <definedName name="tcompleto">#REF!</definedName>
    <definedName name="TELEFONOS" localSheetId="1">#REF!</definedName>
    <definedName name="TELEFONOS">#REF!</definedName>
    <definedName name="VENTAS" localSheetId="1">#REF!</definedName>
    <definedName name="VENTAS">#REF!</definedName>
  </definedNames>
  <calcPr fullCalcOnLoad="1"/>
</workbook>
</file>

<file path=xl/comments1.xml><?xml version="1.0" encoding="utf-8"?>
<comments xmlns="http://schemas.openxmlformats.org/spreadsheetml/2006/main">
  <authors>
    <author>alejandra.guerrero</author>
  </authors>
  <commentList>
    <comment ref="E14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T.C. $ 12.20 X 1
$ 300,000.00 DLLS</t>
        </r>
      </text>
    </comment>
    <comment ref="E15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T.C.  $ 12.20 X 1
$ 10,000.00 DLLS</t>
        </r>
      </text>
    </comment>
    <comment ref="E1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 T.C. $ 12.20 X 1
$ 100,000.00 DLLS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*PRESUPUESTO REMANENTE 2010-I:
</t>
        </r>
        <r>
          <rPr>
            <sz val="10"/>
            <rFont val="Tahoma"/>
            <family val="2"/>
          </rPr>
          <t>$ 735,000.00
    210,000.00 Proy Institucionales Mxl-Tij
    275,000.00 Lic Acervo  Electronc
   280,000.00 Construccion Proyecto Biblioteca.
En 2010-I Se ejercieron $ 250,000.00 pesos para Acervo (lo presupuestado)  más otros $ 250,000.00 pesos de los $ 735 mil presupuestados y no ejercidos.</t>
        </r>
        <r>
          <rPr>
            <b/>
            <sz val="10"/>
            <rFont val="Tahoma"/>
            <family val="2"/>
          </rPr>
          <t xml:space="preserve">
$ 275,000.00 corresponden a Proyecto WASC Biblioteca sin ejercer en el 2010-I. Correspoonde a Construcción. $ 280 mil pesos (Con dif de $ 5 mil pesos).</t>
        </r>
      </text>
    </comment>
    <comment ref="E18" authorId="0">
      <text>
        <r>
          <rPr>
            <sz val="10"/>
            <rFont val="Tahoma"/>
            <family val="2"/>
          </rPr>
          <t xml:space="preserve">
*PRESUPUESTO REMANENTE 2010-II:
$ 735,000.00
    210,000.00 Proy Institucionales Mxl-Tij
    275,000.00 Lic Acervo  Electronc. Pend definir  si se ejerc.
</t>
        </r>
        <r>
          <rPr>
            <b/>
            <sz val="10"/>
            <rFont val="Tahoma"/>
            <family val="2"/>
          </rPr>
          <t xml:space="preserve">   280,000.00 Construccion Proyecto Biblioteca.</t>
        </r>
        <r>
          <rPr>
            <sz val="10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40%
$ 1'658 MIL</t>
        </r>
      </text>
    </comment>
    <comment ref="V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40%
$ 1'658 MIL</t>
        </r>
      </text>
    </comment>
    <comment ref="X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20%
$ 1'658 MIL</t>
        </r>
      </text>
    </comment>
    <comment ref="Z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20%
$ 1'658 MIL</t>
        </r>
      </text>
    </comment>
    <comment ref="AA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20%
$ 1'658 MIL</t>
        </r>
      </text>
    </comment>
    <comment ref="AC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20%
$ 1'658 MIL</t>
        </r>
      </text>
    </comment>
    <comment ref="AH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10%
$ 1'658 MIL</t>
        </r>
      </text>
    </comment>
    <comment ref="AL26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10%
$ 1'658 MIL</t>
        </r>
      </text>
    </comment>
    <comment ref="V27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60%
$ 827,000.00 M.N.
</t>
        </r>
      </text>
    </comment>
    <comment ref="W27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60%
$ 827,000.00 M.N.
</t>
        </r>
      </text>
    </comment>
    <comment ref="AB27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20%
$ 827,000.00 M.N.
</t>
        </r>
      </text>
    </comment>
    <comment ref="AI27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10%
$ 827,000.00 M.N.
</t>
        </r>
      </text>
    </comment>
    <comment ref="AM27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10%
$ 827,000.00 M.N.
</t>
        </r>
      </text>
    </comment>
    <comment ref="Q28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ANTENAS DE SEGURIDAD</t>
        </r>
      </text>
    </comment>
    <comment ref="R29" authorId="0">
      <text>
        <r>
          <rPr>
            <b/>
            <sz val="8"/>
            <rFont val="Tahoma"/>
            <family val="2"/>
          </rPr>
          <t>alejandra.guerrero:</t>
        </r>
        <r>
          <rPr>
            <sz val="8"/>
            <rFont val="Tahoma"/>
            <family val="2"/>
          </rPr>
          <t xml:space="preserve">
fachada de biblioteca
$ 10 mil dlls
</t>
        </r>
      </text>
    </comment>
  </commentList>
</comments>
</file>

<file path=xl/comments2.xml><?xml version="1.0" encoding="utf-8"?>
<comments xmlns="http://schemas.openxmlformats.org/spreadsheetml/2006/main">
  <authors>
    <author>aguerrero</author>
  </authors>
  <commentList>
    <comment ref="H31" authorId="0">
      <text>
        <r>
          <rPr>
            <b/>
            <sz val="8"/>
            <rFont val="Tahoma"/>
            <family val="2"/>
          </rPr>
          <t>aguerrero:</t>
        </r>
        <r>
          <rPr>
            <sz val="8"/>
            <rFont val="Tahoma"/>
            <family val="2"/>
          </rPr>
          <t xml:space="preserve">
EL COSTO DE LA CAMPAÑA ES ESTIMADO XQ POR PARTE DE AVANCE NO RECIBIMOS PROPUESTA. MZO.28,2008</t>
        </r>
      </text>
    </comment>
  </commentList>
</comments>
</file>

<file path=xl/comments7.xml><?xml version="1.0" encoding="utf-8"?>
<comments xmlns="http://schemas.openxmlformats.org/spreadsheetml/2006/main">
  <authors>
    <author>jorge.garcia</author>
  </authors>
  <commentList>
    <comment ref="B15" authorId="0">
      <text>
        <r>
          <rPr>
            <b/>
            <sz val="8"/>
            <rFont val="Tahoma"/>
            <family val="2"/>
          </rPr>
          <t>jorge.garcia:</t>
        </r>
        <r>
          <rPr>
            <sz val="8"/>
            <rFont val="Tahoma"/>
            <family val="2"/>
          </rPr>
          <t xml:space="preserve">
muebles de madera, mesas de cubiculos, mantenimento a recepcion
</t>
        </r>
      </text>
    </comment>
    <comment ref="B6" authorId="0">
      <text>
        <r>
          <rPr>
            <b/>
            <sz val="8"/>
            <rFont val="Tahoma"/>
            <family val="2"/>
          </rPr>
          <t>jorge.garcia:</t>
        </r>
        <r>
          <rPr>
            <sz val="8"/>
            <rFont val="Tahoma"/>
            <family val="2"/>
          </rPr>
          <t xml:space="preserve">
A/C, contactos en area de mezanine, conexion de mesas de sala electronica
</t>
        </r>
      </text>
    </comment>
  </commentList>
</comments>
</file>

<file path=xl/sharedStrings.xml><?xml version="1.0" encoding="utf-8"?>
<sst xmlns="http://schemas.openxmlformats.org/spreadsheetml/2006/main" count="966" uniqueCount="551">
  <si>
    <t>TOTAL ARQ. ELIO</t>
  </si>
  <si>
    <t>Metric</t>
  </si>
  <si>
    <t>diferencias VS nuevo presupuesto</t>
  </si>
  <si>
    <t>MAS DEMOLICIONES Y ACARREOS</t>
  </si>
  <si>
    <t>PENDINETE POR COTIZAR</t>
  </si>
  <si>
    <t>ESTRUCTURA PARA PODER DEMOLER</t>
  </si>
  <si>
    <t>MAYOR METROS DE PLAFON Y MURO</t>
  </si>
  <si>
    <t>UNA PUERTA DE CRISTAL TEMPLADO 69 K</t>
  </si>
  <si>
    <t>LOSETA EN AREA DE ENTRADA, AULA MAGNA Y CICULACION</t>
  </si>
  <si>
    <t>NO INCLUYE EXCAVACIONES NI RELLENO</t>
  </si>
  <si>
    <t>SE CAMBIO AL SANITARIO DE FLUXOMETRO</t>
  </si>
  <si>
    <t>REORGANIZACION DE DUCTERIA POR NUEVAS AREAS</t>
  </si>
  <si>
    <t>REUBICACION DE UN TABLERO ELECTRICO</t>
  </si>
  <si>
    <t>TOTAL DE PARTIDAS QUE AMBOS COTIZARON</t>
  </si>
  <si>
    <t>CONCLUSIONES: AMBAS COTIZACIONES CUENTAN CON PRECIOS DE MERCADO, LA DIFERENCIA A FAVOR DE EL PRESUPUESTO DEL ARQ. CARLOS PEÑA ESTRIBA EN LOS COSTOS PENDIENTES DE ESTRUCTURA METALICA, EXCAVACIONES Y RELLENO EN TUBERIAS DE DRENAJE Y SISTEMA DE A/C, SI SUMAMOS UNICAMENTE LAS PARTIDAS QUE LOS DOS PROVEEDORES TIENE COTIZADAS EXISTE UNA DIFERENCIA ENTRE AMBOS DE $983.46 PESOS</t>
  </si>
  <si>
    <t>TOTAL ARQ. CARLOS</t>
  </si>
  <si>
    <t>CENTRO DE ENSEÑANZA TÉCNICA Y SUPERIOR</t>
  </si>
  <si>
    <t>Costo 2009</t>
  </si>
  <si>
    <t>Costo Total 2009</t>
  </si>
  <si>
    <t>Core 2 Duo E8400, 2GB Mem, 160 GB HD, LCD 17"</t>
  </si>
  <si>
    <t>Laptop Vostro 1014 Core 2 Duo T6570, 2GB Mem, 160GB HD, 14"</t>
  </si>
  <si>
    <t>Laptop Vostro 1014 Core 2 Duo T6570, 2GB Mem, 160 GB HD, 14"</t>
  </si>
  <si>
    <t>Core 2 Quad 9400, 4GB Mem, 250GB HD, LCD 19", Video 1GB</t>
  </si>
  <si>
    <t xml:space="preserve">    Scaner</t>
  </si>
  <si>
    <t xml:space="preserve">    Impresora LaserJet Color</t>
  </si>
  <si>
    <t>Dell Vostro 320 - All-in-One; Sony Studio Headphone</t>
  </si>
  <si>
    <t xml:space="preserve">   Lector Blue-Ray</t>
  </si>
  <si>
    <t>TriCaster All in one</t>
  </si>
  <si>
    <t>S u b - T  O  T  A  L</t>
  </si>
  <si>
    <t>Face plates, plugs, jacks, patch cord.</t>
  </si>
  <si>
    <t>Seguridad para libros</t>
  </si>
  <si>
    <t>Antenas de seguridad para libros</t>
  </si>
  <si>
    <t>I  V  A</t>
  </si>
  <si>
    <t>T  O  T  A  L</t>
  </si>
  <si>
    <t>Mobiliario</t>
  </si>
  <si>
    <t xml:space="preserve"> Proveedor</t>
  </si>
  <si>
    <t>Foto</t>
  </si>
  <si>
    <t>Proveedor</t>
  </si>
  <si>
    <t>Total</t>
  </si>
  <si>
    <t>Education Workstations</t>
  </si>
  <si>
    <t>60"x24"x 29.5"</t>
  </si>
  <si>
    <t>ED2460 HON</t>
  </si>
  <si>
    <t>OficeMart</t>
  </si>
  <si>
    <t>36"x24"x29.5"</t>
  </si>
  <si>
    <t>ED2436G HON</t>
  </si>
  <si>
    <t>-</t>
  </si>
  <si>
    <t>VARIOS</t>
  </si>
  <si>
    <t>STC 3050</t>
  </si>
  <si>
    <t>B1690</t>
  </si>
  <si>
    <t>48"x24"x40"</t>
  </si>
  <si>
    <t>EDC41J</t>
  </si>
  <si>
    <t>Ofice Mart</t>
  </si>
  <si>
    <t>48"x24"40"</t>
  </si>
  <si>
    <t>GAYLOR</t>
  </si>
  <si>
    <t>2.40 x 1.20 mts</t>
  </si>
  <si>
    <t>Gusmar</t>
  </si>
  <si>
    <t>TOTAL</t>
  </si>
  <si>
    <t>66"x24"x 29.5"</t>
  </si>
  <si>
    <t>66582 HON</t>
  </si>
  <si>
    <t>24"x10"</t>
  </si>
  <si>
    <t>4029 HON</t>
  </si>
  <si>
    <t>CPU2</t>
  </si>
  <si>
    <t>48"x24"x29.5"</t>
  </si>
  <si>
    <t>ED2448G HON</t>
  </si>
  <si>
    <t>60"x24"x29.5"</t>
  </si>
  <si>
    <t>ED2460G HON</t>
  </si>
  <si>
    <t>72"x24"x29.5"</t>
  </si>
  <si>
    <t>ED2472G HON</t>
  </si>
  <si>
    <t>5701GA HON</t>
  </si>
  <si>
    <t>lnitiate</t>
  </si>
  <si>
    <t>55"x24"</t>
  </si>
  <si>
    <t>NP5524NCE HON</t>
  </si>
  <si>
    <t>Initiate</t>
  </si>
  <si>
    <t>55"x42"</t>
  </si>
  <si>
    <t>NR5542NCE</t>
  </si>
  <si>
    <t>42"x24"x29.5"</t>
  </si>
  <si>
    <t>NWR2442T</t>
  </si>
  <si>
    <t>Initiate Varios</t>
  </si>
  <si>
    <t>34 1/2"x12 5/8"x71"</t>
  </si>
  <si>
    <t>S72ABC</t>
  </si>
  <si>
    <t>64"x40"x25"</t>
  </si>
  <si>
    <t>GH-VS25236</t>
  </si>
  <si>
    <t>Escritorio</t>
  </si>
  <si>
    <t>60"x30"x29.5"</t>
  </si>
  <si>
    <t>100-131 BOSAN</t>
  </si>
  <si>
    <t>100-197 BOSAN</t>
  </si>
  <si>
    <t>100-117 BOSAN</t>
  </si>
  <si>
    <t>100-166 BOSAN</t>
  </si>
  <si>
    <t>60"x15"x36"</t>
  </si>
  <si>
    <t>100-141 BOSAN</t>
  </si>
  <si>
    <t>B8306 BOSS</t>
  </si>
  <si>
    <t>71"x34.5"x12"</t>
  </si>
  <si>
    <t>100-103 BOSAN</t>
  </si>
  <si>
    <t>24"x42"x29"</t>
  </si>
  <si>
    <t>100-196 BOSAN</t>
  </si>
  <si>
    <t xml:space="preserve">Pedestal </t>
  </si>
  <si>
    <t>19"x16"x22"</t>
  </si>
  <si>
    <t>100-107</t>
  </si>
  <si>
    <t>52"x18"x25"</t>
  </si>
  <si>
    <t>514CP HON</t>
  </si>
  <si>
    <t>30"x60"x29.5"</t>
  </si>
  <si>
    <t>UTM3060 HON</t>
  </si>
  <si>
    <t>34.5"x12 5/8"x81"</t>
  </si>
  <si>
    <t>S82ABC'HON</t>
  </si>
  <si>
    <t>S82ABC HON</t>
  </si>
  <si>
    <t>34.5"x12"x71"</t>
  </si>
  <si>
    <t>72"x18"x 29.5"</t>
  </si>
  <si>
    <t>611872 VIRCO</t>
  </si>
  <si>
    <t>12"x12"x72"</t>
  </si>
  <si>
    <t>L3109</t>
  </si>
  <si>
    <t>36"x18"x72"</t>
  </si>
  <si>
    <t>SC1872</t>
  </si>
  <si>
    <t>24"x"24"x40</t>
  </si>
  <si>
    <t>Gensa</t>
  </si>
  <si>
    <t>0.80cm.x1.81cm.</t>
  </si>
  <si>
    <t>1.22cm.x3.05mts.</t>
  </si>
  <si>
    <t>2.20mt x 1.01mt x 80cm</t>
  </si>
  <si>
    <t>Comander</t>
  </si>
  <si>
    <t>JFA</t>
  </si>
  <si>
    <t>GENSA</t>
  </si>
  <si>
    <t>COMANDER</t>
  </si>
  <si>
    <t>J FLORES</t>
  </si>
  <si>
    <t>Costo</t>
  </si>
  <si>
    <t>ULSG3</t>
  </si>
  <si>
    <t>Elect interlink 2</t>
  </si>
  <si>
    <t>ULSG2</t>
  </si>
  <si>
    <t>Elect interlink 3</t>
  </si>
  <si>
    <t>48"X15"</t>
  </si>
  <si>
    <t>NCS1548T HON</t>
  </si>
  <si>
    <t>60"x15"</t>
  </si>
  <si>
    <t>NCS1560T HON</t>
  </si>
  <si>
    <t>48"x24"</t>
  </si>
  <si>
    <t>WR2448T HON</t>
  </si>
  <si>
    <t xml:space="preserve">60"x24" </t>
  </si>
  <si>
    <t>WR2460T HON</t>
  </si>
  <si>
    <t>60"x42"</t>
  </si>
  <si>
    <t>NR4260F HON</t>
  </si>
  <si>
    <t>48"x42"</t>
  </si>
  <si>
    <t>NR4248F HON</t>
  </si>
  <si>
    <t>24"x42"</t>
  </si>
  <si>
    <t>NR4224F HON</t>
  </si>
  <si>
    <t>PT308439 VIRCO</t>
  </si>
  <si>
    <t>IVA</t>
  </si>
  <si>
    <t>total remodelación 2010</t>
  </si>
  <si>
    <t>Foto Muebles\Estación maestros.JPG</t>
  </si>
  <si>
    <t>GENSA (A/C)</t>
  </si>
  <si>
    <t>RAIN (A/C)</t>
  </si>
  <si>
    <t>DLLS</t>
  </si>
  <si>
    <t>CETYS UNIVERSIDAD CAMPUS TIJUANA</t>
  </si>
  <si>
    <t>BIBLIOTECA Y CENTRO DE INFORMACION LUIS FIMBRES MORENO</t>
  </si>
  <si>
    <t xml:space="preserve">      BIBLIOTECA Y CENTRO DE INFORMACION LUIS FIMBRES MORENO</t>
  </si>
  <si>
    <t xml:space="preserve">PROYECTO DE ACTUALIZACION Y AMPLIACION </t>
  </si>
  <si>
    <t xml:space="preserve">                                        PROYECTO DE ACTUALIZACION Y AMPLIACION </t>
  </si>
  <si>
    <t>Al 31 DE OCTUBRE DE 2010</t>
  </si>
  <si>
    <t xml:space="preserve">                                               Al 22 DE OCTUBRE DE 2010</t>
  </si>
  <si>
    <t xml:space="preserve"> (cantidades en pesos)</t>
  </si>
  <si>
    <t xml:space="preserve">                                       (cantidades en pesos)</t>
  </si>
  <si>
    <t>DATOS REALES            al 31.Oct.10</t>
  </si>
  <si>
    <t>t.c.</t>
  </si>
  <si>
    <t xml:space="preserve"> CONCEPTOS</t>
  </si>
  <si>
    <t>EJERCIDO          2009</t>
  </si>
  <si>
    <t>REAL al              31.Oct.10</t>
  </si>
  <si>
    <t>PRESUPUESTO TOTAL PROYECTO</t>
  </si>
  <si>
    <t>PROYECTADO NOVIEMBRE          2010</t>
  </si>
  <si>
    <t>PROYECTADO DICIEMBRE           2010</t>
  </si>
  <si>
    <t>PROYECTADO ENERO                 2011</t>
  </si>
  <si>
    <t>PROYECTADO FEBRERO          2011</t>
  </si>
  <si>
    <t>SEGUNDO SEMESTRE 2010</t>
  </si>
  <si>
    <t>TOTAL ACUMULADO</t>
  </si>
  <si>
    <t>SEPTIEMBRE  2010</t>
  </si>
  <si>
    <t>Sem. 3       Octubre</t>
  </si>
  <si>
    <t>Sem. 4 Octubre</t>
  </si>
  <si>
    <t>OCTUBRE   2010</t>
  </si>
  <si>
    <t>Sem. 1 Noviembre</t>
  </si>
  <si>
    <t>Sem. 2 Noviembre</t>
  </si>
  <si>
    <t>Sem. 3 Noviembre</t>
  </si>
  <si>
    <t>Sem. 4 Noviembre</t>
  </si>
  <si>
    <t>NOVIEMBRE  2010</t>
  </si>
  <si>
    <t>Sem. 1 Diciembre</t>
  </si>
  <si>
    <t>Sem. 2 Diciembre</t>
  </si>
  <si>
    <t>Sem. 3 Diciembre</t>
  </si>
  <si>
    <t>Sem. 4 Diciembre</t>
  </si>
  <si>
    <t>DICIEMBRE 2010</t>
  </si>
  <si>
    <t>ACUMULADO 2010</t>
  </si>
  <si>
    <t>Sem. 1             Enero 2011</t>
  </si>
  <si>
    <t>Sem. 2             Enero 2011</t>
  </si>
  <si>
    <t>Sem. 3             Enero 2011</t>
  </si>
  <si>
    <t>Sem. 4             Enero 2011</t>
  </si>
  <si>
    <t>ENERO 2011</t>
  </si>
  <si>
    <t>Sem. 1             Febrero 2011</t>
  </si>
  <si>
    <t>Sem. 2             Febrero 2011</t>
  </si>
  <si>
    <t>Sem. 3             Febrero 2011</t>
  </si>
  <si>
    <t>Sem. 4             Febrero 2011</t>
  </si>
  <si>
    <t>FEBRERO 2011</t>
  </si>
  <si>
    <t>SEGUNDO SEM 2011</t>
  </si>
  <si>
    <t>ACUMULADO 2011</t>
  </si>
  <si>
    <t>ACUMULADO TOTAL              2010-2011</t>
  </si>
  <si>
    <t>INGRESOS</t>
  </si>
  <si>
    <t>DONATIVO  FAM. FIMBRES</t>
  </si>
  <si>
    <t>DONATIVO G. ASTIAZARAN</t>
  </si>
  <si>
    <t>CENA DE GALA</t>
  </si>
  <si>
    <t>REMANENTES CETYS 2010-I</t>
  </si>
  <si>
    <t>OTROS DONATIVOS</t>
  </si>
  <si>
    <t>REMANENTES CETYS 2010-II</t>
  </si>
  <si>
    <t>SUB-TOTALES DE INGRESOS</t>
  </si>
  <si>
    <t xml:space="preserve">TOTAL INGRESOS </t>
  </si>
  <si>
    <t>EGRESOS</t>
  </si>
  <si>
    <t>OBRA CIVIL (Remodelación)</t>
  </si>
  <si>
    <t>MOBILIARIO</t>
  </si>
  <si>
    <t>INFRAESTRUCTURA DE TECNOLOGIAS Y EQPO COMPUTO</t>
  </si>
  <si>
    <t>FACHADA DE BIBLIOTECA  Y MURAL</t>
  </si>
  <si>
    <t>ACERVO</t>
  </si>
  <si>
    <t>;l</t>
  </si>
  <si>
    <t>SUB-TOTALES DE EGRESOS</t>
  </si>
  <si>
    <t xml:space="preserve">TOTAL EGRESOS </t>
  </si>
  <si>
    <t xml:space="preserve">REMANENTE </t>
  </si>
  <si>
    <t>Nota 1. Este presupuesto incluye IVA 11%</t>
  </si>
  <si>
    <t xml:space="preserve">Nota 2. Este presupuesto se presente en pesos. </t>
  </si>
  <si>
    <t>PENDIENTE LIBERAR O NO LOS $ 525 MIL PESOS DE REMANENTES 2010-II</t>
  </si>
  <si>
    <t>Con t.c. de ingresos promedio de 12.20 y de egresos de 12.50</t>
  </si>
  <si>
    <t>Nota 3. Falta definir la inversion de $ 245 mil pesos de proyecto WASC de Remanentes 2010-II ($ 735 mil pesos)</t>
  </si>
  <si>
    <t>$ 280 MIL CONSTRUCCION OBRA CIVIL (2010-II).</t>
  </si>
  <si>
    <t>Nota 4. Cena de Gala 2010 se estima la cobranza del evento 2010 y 2011.</t>
  </si>
  <si>
    <t>$ 245 MIL LIC ACERVO BIBLIOGRAF (2010-II).</t>
  </si>
  <si>
    <t>FLUJO DE EFECTIVO DE CAMPAÑAS DE CAPITAL</t>
  </si>
  <si>
    <t>DEL 1 DE ENERO AL 31 DE DICIEMBRE DE 2008</t>
  </si>
  <si>
    <t xml:space="preserve">                                                                                 (DOLARES)</t>
  </si>
  <si>
    <t>T.C.</t>
  </si>
  <si>
    <t>CAMPAÑAS DE CAPITAL</t>
  </si>
  <si>
    <t>REAL ACUML    ENE-JULIO 2008</t>
  </si>
  <si>
    <t>PPTO 2008     ENE-DIC</t>
  </si>
  <si>
    <t>SALDO INICIAL EFECTIVO  2008</t>
  </si>
  <si>
    <r>
      <t xml:space="preserve">DONATIVOS </t>
    </r>
    <r>
      <rPr>
        <sz val="7"/>
        <color indexed="8"/>
        <rFont val="Arial"/>
        <family val="2"/>
      </rPr>
      <t>(Eventos Productivos 2008)</t>
    </r>
  </si>
  <si>
    <t>DONATIVOS CAMPAÑA 2008</t>
  </si>
  <si>
    <t xml:space="preserve"> </t>
  </si>
  <si>
    <t>TOTAL DE INGRESOS CAMPANA 2008</t>
  </si>
  <si>
    <t>EGRESOS CAMPANA 2008</t>
  </si>
  <si>
    <t>ACERVO BIBLIOGRAFICO (Base de datos, revistas)</t>
  </si>
  <si>
    <t>AREAS VERDES LANSCAPING</t>
  </si>
  <si>
    <t>BECAS TALENTO</t>
  </si>
  <si>
    <t>EQUIPO AUDIOVISUAL</t>
  </si>
  <si>
    <t>EQUIPAMIENTO DEPORTIVO, UNIFORMES</t>
  </si>
  <si>
    <t xml:space="preserve">EQUIPO COMPUTO AREA ACADEMICA </t>
  </si>
  <si>
    <t>MOBILIARIO SALONES</t>
  </si>
  <si>
    <t>SISTEMA DE SEGURIDAD BIBLIOTECA</t>
  </si>
  <si>
    <t>COSTO DE LA COMPAÑA</t>
  </si>
  <si>
    <t>SUB-TOTAL DE EGRESOS CAMPANA 2008</t>
  </si>
  <si>
    <t>EGRESOS CAMPANA 2007</t>
  </si>
  <si>
    <r>
      <t xml:space="preserve">REMODELACION SALONES </t>
    </r>
    <r>
      <rPr>
        <sz val="8"/>
        <color indexed="8"/>
        <rFont val="Arial"/>
        <family val="2"/>
      </rPr>
      <t>(Contacto en aulas)</t>
    </r>
  </si>
  <si>
    <t>ACERVO BIBLIOGRAFICO</t>
  </si>
  <si>
    <t>PLAZA CIVICA</t>
  </si>
  <si>
    <t>SUB-TOTAL DE EGRESOS CAMPANA 2007</t>
  </si>
  <si>
    <t>TOTAL EFECTIVO NETO CAMPANA AL 30 DE JUNIO 08</t>
  </si>
  <si>
    <t>Arq. Elio</t>
  </si>
  <si>
    <t>Oficemart</t>
  </si>
  <si>
    <t>CCTV</t>
  </si>
  <si>
    <t>APSyC</t>
  </si>
  <si>
    <t>Victorino Justino</t>
  </si>
  <si>
    <t>GUSMAR</t>
  </si>
  <si>
    <t>REAL</t>
  </si>
  <si>
    <t>PRESUPUESTADO</t>
  </si>
  <si>
    <t>DIFERENCIA</t>
  </si>
  <si>
    <t>TOTAL DIFERENCIA</t>
  </si>
  <si>
    <t>dlls Inc. IVA</t>
  </si>
  <si>
    <t>Presupuestado</t>
  </si>
  <si>
    <t>Diferencia</t>
  </si>
  <si>
    <t xml:space="preserve">Total </t>
  </si>
  <si>
    <t>J Flores</t>
  </si>
  <si>
    <t>Monto con IVA</t>
  </si>
  <si>
    <t>Gran total</t>
  </si>
  <si>
    <t>CIVIL WORK</t>
  </si>
  <si>
    <t>QUOTATIONS</t>
  </si>
  <si>
    <t>ITEMS</t>
  </si>
  <si>
    <t>EXTERNAL WORKS</t>
  </si>
  <si>
    <t>METALS</t>
  </si>
  <si>
    <t>WALLS AND CEILINGS</t>
  </si>
  <si>
    <t>DOORS AND WINDOWS</t>
  </si>
  <si>
    <t>FINISH</t>
  </si>
  <si>
    <t>TOILETS AND LAVATORIES</t>
  </si>
  <si>
    <t>AIR CONDITIONING</t>
  </si>
  <si>
    <t>HYDRAULIC SYSTEM</t>
  </si>
  <si>
    <t xml:space="preserve">ELECTRICAL INSTALLATION </t>
  </si>
  <si>
    <t>TOTAL  BUDGET</t>
  </si>
  <si>
    <t xml:space="preserve">VAT </t>
  </si>
  <si>
    <t xml:space="preserve"> TOTAL CONSTRUCTION IN PESOS</t>
  </si>
  <si>
    <t>TOTAL CONSTRUCTION IN Dlls</t>
  </si>
  <si>
    <t>TO CONTRACT</t>
  </si>
  <si>
    <t>PROVIDER</t>
  </si>
  <si>
    <t>FURNITURE FOR LIBRARY REMODELING</t>
  </si>
  <si>
    <t xml:space="preserve">Furniture </t>
  </si>
  <si>
    <t>Budget for October Octubre 2010</t>
  </si>
  <si>
    <t>Description</t>
  </si>
  <si>
    <t>Quantity</t>
  </si>
  <si>
    <t>Dimensions</t>
  </si>
  <si>
    <t xml:space="preserve">Model </t>
  </si>
  <si>
    <t>Training Room</t>
  </si>
  <si>
    <t>Table for students</t>
  </si>
  <si>
    <t>Individual table for student</t>
  </si>
  <si>
    <t>Table accessories</t>
  </si>
  <si>
    <t>Contacts</t>
  </si>
  <si>
    <t>Chairs</t>
  </si>
  <si>
    <t>High chair with wheels without armrests</t>
  </si>
  <si>
    <t>Workstation for teacher</t>
  </si>
  <si>
    <t xml:space="preserve">Blackboard </t>
  </si>
  <si>
    <t>Electronic Room</t>
  </si>
  <si>
    <t>Keyboard holder</t>
  </si>
  <si>
    <t>CPU holder</t>
  </si>
  <si>
    <t>Media Room</t>
  </si>
  <si>
    <t>Table for teachers</t>
  </si>
  <si>
    <t>Table for teachers  equipment</t>
  </si>
  <si>
    <t>Audiovisual Resources</t>
  </si>
  <si>
    <t>Screens (partitions)</t>
  </si>
  <si>
    <t>Metallic panel structure</t>
  </si>
  <si>
    <t xml:space="preserve">Cover </t>
  </si>
  <si>
    <t xml:space="preserve">Accessories </t>
  </si>
  <si>
    <t>CRAI Reception</t>
  </si>
  <si>
    <t>Cover</t>
  </si>
  <si>
    <t>Screen</t>
  </si>
  <si>
    <t>Reception accessories</t>
  </si>
  <si>
    <t>Secretarial chair without armrests</t>
  </si>
  <si>
    <t>Keyboard Holder</t>
  </si>
  <si>
    <t>Racks or shelves for DVD</t>
  </si>
  <si>
    <t>Racks or shelves for  400 DVD</t>
  </si>
  <si>
    <t xml:space="preserve">Circulation Area </t>
  </si>
  <si>
    <t>Consultation Area</t>
  </si>
  <si>
    <t>Table</t>
  </si>
  <si>
    <t>Principal´s Office</t>
  </si>
  <si>
    <t>Desk</t>
  </si>
  <si>
    <t xml:space="preserve"> Drawers and filing cabinet</t>
  </si>
  <si>
    <t>"Credenza"</t>
  </si>
  <si>
    <t xml:space="preserve">Fixed Pedestal </t>
  </si>
  <si>
    <t xml:space="preserve">Chair </t>
  </si>
  <si>
    <t>Metallic Bookcase</t>
  </si>
  <si>
    <t>Reversible Return</t>
  </si>
  <si>
    <t>Metallic File Cabinets</t>
  </si>
  <si>
    <t xml:space="preserve">Secretarial chair without armrest </t>
  </si>
  <si>
    <t>Workstation table</t>
  </si>
  <si>
    <t>Periodicals</t>
  </si>
  <si>
    <t>Histórical Archive</t>
  </si>
  <si>
    <t>Reversible return</t>
  </si>
  <si>
    <t>Secretarial chair withour armrest</t>
  </si>
  <si>
    <t>Área for Staff</t>
  </si>
  <si>
    <t>Folding Table</t>
  </si>
  <si>
    <t xml:space="preserve"> Metallic Lockers</t>
  </si>
  <si>
    <t>Copy Area</t>
  </si>
  <si>
    <t>Metallic Cabinet</t>
  </si>
  <si>
    <t>Consultation Island (heritage area)</t>
  </si>
  <si>
    <t>Chair</t>
  </si>
  <si>
    <t>Group Work Table</t>
  </si>
  <si>
    <t>Cubicle Tables</t>
  </si>
  <si>
    <t>Rectangular table</t>
  </si>
  <si>
    <t>Boat type table</t>
  </si>
  <si>
    <t>Cultural Heritage</t>
  </si>
  <si>
    <t xml:space="preserve">Book Shelves </t>
  </si>
  <si>
    <t xml:space="preserve">Book shelves </t>
  </si>
  <si>
    <t>Magazines Area</t>
  </si>
  <si>
    <t>Magazines Rack</t>
  </si>
  <si>
    <t>Newspaper Rack</t>
  </si>
  <si>
    <t>VAT</t>
  </si>
  <si>
    <t>TOTAL IN PESOS</t>
  </si>
  <si>
    <t>TOTAL IN  DLLS.</t>
  </si>
  <si>
    <t>Individual table for students</t>
  </si>
  <si>
    <t>Workstation tables</t>
  </si>
  <si>
    <t>Pipelines</t>
  </si>
  <si>
    <t>Workshop table</t>
  </si>
  <si>
    <t>Chair for Teacher</t>
  </si>
  <si>
    <t>Porcelain white board</t>
  </si>
  <si>
    <t>Chair for teacher</t>
  </si>
  <si>
    <t>Workstation for Students</t>
  </si>
  <si>
    <t>Workstations</t>
  </si>
  <si>
    <t>Secretarial chair Vold 5700</t>
  </si>
  <si>
    <t>Secretarial chair  Vold 5700</t>
  </si>
  <si>
    <t>For receptionist</t>
  </si>
  <si>
    <t>Shelf back up</t>
  </si>
  <si>
    <t>Desk shelf</t>
  </si>
  <si>
    <t>Query Table</t>
  </si>
  <si>
    <t>Secretarial Chair  Vold 5700</t>
  </si>
  <si>
    <t>Peninsular desk</t>
  </si>
  <si>
    <t>"credenza"</t>
  </si>
  <si>
    <t>2 drawers and one file cabinet</t>
  </si>
  <si>
    <t>Bookcase on credenza</t>
  </si>
  <si>
    <t>Process Técnico</t>
  </si>
  <si>
    <t>Includes drawersand file</t>
  </si>
  <si>
    <t>Workshop station</t>
  </si>
  <si>
    <t>Semi -ejecutive chair</t>
  </si>
  <si>
    <t>Chair for Visitors</t>
  </si>
  <si>
    <t>Metallic bookcase w/5 shelves.</t>
  </si>
  <si>
    <t>Shell type</t>
  </si>
  <si>
    <t>6 shelves</t>
  </si>
  <si>
    <t>4 drawers</t>
  </si>
  <si>
    <t>2 drawers with lock</t>
  </si>
  <si>
    <t>worktables</t>
  </si>
  <si>
    <t>Secretarial  Chair Vold 5700</t>
  </si>
  <si>
    <t>With two drawers and lock</t>
  </si>
  <si>
    <t>5 shelves</t>
  </si>
  <si>
    <t>with 4 divisions</t>
  </si>
  <si>
    <t>CPU</t>
  </si>
  <si>
    <t>Workshop tables</t>
  </si>
  <si>
    <t>Stackable chairs</t>
  </si>
  <si>
    <t>for 5 sections with doors</t>
  </si>
  <si>
    <t>Table for consultation</t>
  </si>
  <si>
    <t>Table for 4 persons</t>
  </si>
  <si>
    <t>Stackable chair</t>
  </si>
  <si>
    <t>for 10 persons</t>
  </si>
  <si>
    <t xml:space="preserve">for 6  persons </t>
  </si>
  <si>
    <t>Double side</t>
  </si>
  <si>
    <t>Single side</t>
  </si>
  <si>
    <t>Shelf for magazines</t>
  </si>
  <si>
    <t>CETYS UNIVERSITY CAMPUS TIJUANA</t>
  </si>
  <si>
    <t>LIBRARY AND INFORMATION CENTER LUIS FIMBRES MORENO</t>
  </si>
  <si>
    <t xml:space="preserve">UPDATE AND EXTENSION PROJECT </t>
  </si>
  <si>
    <t xml:space="preserve"> (amounts in US Dollars)</t>
  </si>
  <si>
    <t xml:space="preserve"> CONCEPTS</t>
  </si>
  <si>
    <t>TO OCTOBER 31  2009</t>
  </si>
  <si>
    <t>REAL INVESTMENT PHASE 1                    TO OCT 31 2009</t>
  </si>
  <si>
    <t xml:space="preserve">BUDGET PHASE 1 </t>
  </si>
  <si>
    <t>VARIATIONS</t>
  </si>
  <si>
    <t xml:space="preserve"> BUDGET PHASE 2</t>
  </si>
  <si>
    <t>BUDGET PHASE 3</t>
  </si>
  <si>
    <t xml:space="preserve">TOTAL BUDGET       PROJECT </t>
  </si>
  <si>
    <t>INCOME</t>
  </si>
  <si>
    <t>TOTAL INCOME ACCRUED</t>
  </si>
  <si>
    <t>EXPENDITURE</t>
  </si>
  <si>
    <t>TOTAL EXPENDITURE ACCRUED</t>
  </si>
  <si>
    <t>SURPLUS ACCRUED IN CASH</t>
  </si>
  <si>
    <t>SURPLUS  2009-I</t>
  </si>
  <si>
    <t>SURPLUS  2009-II</t>
  </si>
  <si>
    <t>SUB-TOTAL  INCOME</t>
  </si>
  <si>
    <t>CIVIL WORK (Remodeling)</t>
  </si>
  <si>
    <t>FURNITURE</t>
  </si>
  <si>
    <t>INFRASTRUCTURE TECHNOLOGY &amp; COMPUTER EQUIPMENT</t>
  </si>
  <si>
    <t>CAMPAIGN COST</t>
  </si>
  <si>
    <t>SUB-TOTAL EXPENDITURE</t>
  </si>
  <si>
    <t>Note 1. This budget includes VAT 10%</t>
  </si>
  <si>
    <t xml:space="preserve">Note 2. This budget is in US Dollars </t>
  </si>
  <si>
    <t>Note 3. In August one part of the first phase of the project, started, Civil Work and</t>
  </si>
  <si>
    <r>
      <t xml:space="preserve">part of infrastructure technology. </t>
    </r>
    <r>
      <rPr>
        <b/>
        <i/>
        <sz val="10"/>
        <color indexed="10"/>
        <rFont val="Arial"/>
        <family val="2"/>
      </rPr>
      <t>With surplus funding Campus Tijuana.</t>
    </r>
  </si>
  <si>
    <t>Balance without accounting to Oct. 31, 2009 &amp; Nov.05, 2009</t>
  </si>
  <si>
    <t>Records in November 2009 (outstanding) Computing</t>
  </si>
  <si>
    <t>Records in November 2009 (outstanding) A/C</t>
  </si>
  <si>
    <t>Records in November 2009 (outstanding) Shelves</t>
  </si>
  <si>
    <t>Records in November 2009 (outstanding) Furniture 50%</t>
  </si>
  <si>
    <t>Surplus</t>
  </si>
  <si>
    <t>VARIATION</t>
  </si>
  <si>
    <t>CASH BALANCE ON PROYECT CI AND B</t>
  </si>
  <si>
    <t>Departament of Computing and Telecommunications</t>
  </si>
  <si>
    <t>Proposal Infrastructure of Computing Equipment and Technologies of Information</t>
  </si>
  <si>
    <t>Unit/Article</t>
  </si>
  <si>
    <t>Description /Application</t>
  </si>
  <si>
    <t>Cost 2010</t>
  </si>
  <si>
    <t>Total Cost 2010</t>
  </si>
  <si>
    <t xml:space="preserve">    Computing  Equipment </t>
  </si>
  <si>
    <t xml:space="preserve">    Instruction equipment</t>
  </si>
  <si>
    <t xml:space="preserve">    Printer LaserJet</t>
  </si>
  <si>
    <t xml:space="preserve">    Projection</t>
  </si>
  <si>
    <t xml:space="preserve">    Installation</t>
  </si>
  <si>
    <r>
      <t xml:space="preserve"> </t>
    </r>
    <r>
      <rPr>
        <sz val="10"/>
        <color indexed="8"/>
        <rFont val="Segoe UI"/>
        <family val="2"/>
      </rPr>
      <t xml:space="preserve">   Equipment</t>
    </r>
  </si>
  <si>
    <t xml:space="preserve">    Digital Camara </t>
  </si>
  <si>
    <t xml:space="preserve">    Tripod</t>
  </si>
  <si>
    <t xml:space="preserve">    Design tablet</t>
  </si>
  <si>
    <t>Center of Resources for Learning and Investigation (CRAI )</t>
  </si>
  <si>
    <t>Counter CRAI</t>
  </si>
  <si>
    <t xml:space="preserve">    Computer</t>
  </si>
  <si>
    <t xml:space="preserve">    Printer Laser</t>
  </si>
  <si>
    <t xml:space="preserve">   Chamber of Documents</t>
  </si>
  <si>
    <t xml:space="preserve">   Video Camara</t>
  </si>
  <si>
    <t xml:space="preserve">   Microphone &amp; base</t>
  </si>
  <si>
    <t xml:space="preserve">   Lapel microphone </t>
  </si>
  <si>
    <t xml:space="preserve">  Video Production </t>
  </si>
  <si>
    <t>Projector, Electric screen, speakers, connectors, driver</t>
  </si>
  <si>
    <t>Installations, configurations and accessories</t>
  </si>
  <si>
    <t>High quality presentations and definition SDP850/DX</t>
  </si>
  <si>
    <t>Videoconferencing Camara</t>
  </si>
  <si>
    <t>Video Playback</t>
  </si>
  <si>
    <t>Video Room</t>
  </si>
  <si>
    <t>Projector, Manual screen, connectors</t>
  </si>
  <si>
    <t>Communications Infrastructure  (voice and data)</t>
  </si>
  <si>
    <t>Total Cost  2010</t>
  </si>
  <si>
    <t>Sefety</t>
  </si>
  <si>
    <t>Wring UTP</t>
  </si>
  <si>
    <t>Communication Cabinet</t>
  </si>
  <si>
    <t>Channeling</t>
  </si>
  <si>
    <t>Connectivity in workstations.</t>
  </si>
  <si>
    <t>Wireless network</t>
  </si>
  <si>
    <t xml:space="preserve">Miscellaneous </t>
  </si>
  <si>
    <t>Wring UTP Cat  5E brand Panduit.</t>
  </si>
  <si>
    <t>Wring UTP Cat  5E brand  Panduit.</t>
  </si>
  <si>
    <t xml:space="preserve">Rack, vertical &amp;  horizontal, organizers patch panel modular. </t>
  </si>
  <si>
    <t>gangway, fast connections, threaded rod, securing clips, profile,  accessories.</t>
  </si>
  <si>
    <t>Access point</t>
  </si>
  <si>
    <t>Bolts, cutting disk, drill, etc.</t>
  </si>
  <si>
    <t>Security for Books</t>
  </si>
  <si>
    <t>Closed circuit</t>
  </si>
  <si>
    <t>Security antennas for books</t>
  </si>
  <si>
    <t xml:space="preserve"> T O T A L</t>
  </si>
  <si>
    <t xml:space="preserve">TOTAL </t>
  </si>
  <si>
    <t>Department of Computing and Telecommunications</t>
  </si>
  <si>
    <t>Phase 1</t>
  </si>
  <si>
    <t>Unit/Artcle</t>
  </si>
  <si>
    <t>Connectivity</t>
  </si>
  <si>
    <t>Video Rooms</t>
  </si>
  <si>
    <t>Phase 2</t>
  </si>
  <si>
    <t>Center of Resources for Learning and Research (CRAI )</t>
  </si>
  <si>
    <t xml:space="preserve">    Computing equipment</t>
  </si>
  <si>
    <t xml:space="preserve">    Digital Camara</t>
  </si>
  <si>
    <t xml:space="preserve">    Printer LaserJet Color</t>
  </si>
  <si>
    <t xml:space="preserve">    Design Tablets</t>
  </si>
  <si>
    <t xml:space="preserve">   Playback stations</t>
  </si>
  <si>
    <t xml:space="preserve">    Playback stations</t>
  </si>
  <si>
    <t xml:space="preserve">   Lapel microphone</t>
  </si>
  <si>
    <t xml:space="preserve">   Microphone and base</t>
  </si>
  <si>
    <t xml:space="preserve">   Video playback</t>
  </si>
  <si>
    <t>Security for books</t>
  </si>
  <si>
    <t>Closed Circuit</t>
  </si>
  <si>
    <t xml:space="preserve"> T  O  T  A  L </t>
  </si>
  <si>
    <t>High quality presentations &amp; definition SDP850/DX</t>
  </si>
  <si>
    <t>Videoconferencing camara</t>
  </si>
  <si>
    <t>Videos playback</t>
  </si>
  <si>
    <t>Infrastructure of communications (voice and data)</t>
  </si>
  <si>
    <t>Wiring UTP Cat  5E brand Panduit. (Additional for changes)</t>
  </si>
  <si>
    <t>Access Point</t>
  </si>
  <si>
    <t>Security Antennas for books</t>
  </si>
  <si>
    <t>Closed Circuit System</t>
  </si>
  <si>
    <t>Security</t>
  </si>
  <si>
    <t>Comments:</t>
  </si>
  <si>
    <t xml:space="preserve">   -  It was considered for this proposal for computers, to continue with the standard of laboratories of the campus which have equipment brand DELL or IBM.</t>
  </si>
  <si>
    <t xml:space="preserve">    - The increase in the price of the equipment of the Media Room and Electronic Room is because in the 2009-2, budget, it was quoted equipment unbranded, </t>
  </si>
  <si>
    <t xml:space="preserve">    - This proposal is for equipment brand DELL, which has 3 years warranty in parts and service and a lifetime estimated of 4 to 5 years,</t>
  </si>
  <si>
    <t xml:space="preserve">       which only has one year guarante in parts not including any type of service, besides the lifetime estimated is 3 years.</t>
  </si>
  <si>
    <t xml:space="preserve">       besides this equipment is more updated. </t>
  </si>
  <si>
    <t xml:space="preserve">    - The difference in price of other equipment to this proposal is not considerable. </t>
  </si>
  <si>
    <t xml:space="preserve">Rack, vertical &amp; horizontal organizers, patch panel modular. </t>
  </si>
  <si>
    <t>Gangway, fast connections, threaded rod, safety clips, profile,  accessories.</t>
  </si>
  <si>
    <t>Projector, manual screen, connectors</t>
  </si>
  <si>
    <t>Concentrate costos of remodeling library</t>
  </si>
  <si>
    <t xml:space="preserve">Civil Work </t>
  </si>
  <si>
    <t>Furniture</t>
  </si>
  <si>
    <t>Computing Equipment</t>
  </si>
  <si>
    <t>Contingencies for civil work 5%</t>
  </si>
  <si>
    <t>Prices in dollars include VAT,  subject to change for starting time of works and modifications to project</t>
  </si>
  <si>
    <t xml:space="preserve">It is considered a contingeny entry in civil works of 5%   of total construction works, according to the experience in remodeling works which show details not considered in the project. </t>
  </si>
  <si>
    <t>Expenditure</t>
  </si>
  <si>
    <t>Comments</t>
  </si>
  <si>
    <t>Civil Work</t>
  </si>
  <si>
    <t>CONTINGENCY EXPENSE</t>
  </si>
  <si>
    <t>Total investment</t>
  </si>
  <si>
    <t>Extra work primarily baseboard, demolition and exterior work</t>
  </si>
  <si>
    <t>Removal of existent ductwork &amp; exhaust or extractors out of service in consultation area</t>
  </si>
  <si>
    <t>Carpet in area of knowledge</t>
  </si>
  <si>
    <t>Chairs that were removed to Officemart and bought to Comander</t>
  </si>
  <si>
    <t xml:space="preserve">Maintenance to furniture, tables and carpentry that was not covered. </t>
  </si>
</sst>
</file>

<file path=xl/styles.xml><?xml version="1.0" encoding="utf-8"?>
<styleSheet xmlns="http://schemas.openxmlformats.org/spreadsheetml/2006/main">
  <numFmts count="17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_(* #,##0_);_(* \(#,##0\);_(* &quot;-&quot;??_);_(@_)"/>
    <numFmt numFmtId="169" formatCode="_(&quot;$&quot;* #,##0_);_(&quot;$&quot;* \(#,##0\);_(&quot;$&quot;* &quot;-&quot;??_);_(@_)"/>
    <numFmt numFmtId="170" formatCode="0.0#"/>
    <numFmt numFmtId="171" formatCode="_-[$€-2]* #,##0.00_-;\-[$€-2]* #,##0.00_-;_-[$€-2]* &quot;-&quot;??_-"/>
    <numFmt numFmtId="172" formatCode="0.00_)"/>
  </numFmts>
  <fonts count="13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20"/>
      <color indexed="8"/>
      <name val="Trajan Pro"/>
      <family val="1"/>
    </font>
    <font>
      <sz val="16"/>
      <color indexed="8"/>
      <name val="Calibri"/>
      <family val="2"/>
    </font>
    <font>
      <b/>
      <sz val="14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color indexed="8"/>
      <name val="Calibri"/>
      <family val="2"/>
    </font>
    <font>
      <sz val="10"/>
      <name val="Segoe U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5"/>
      <name val="Arial"/>
      <family val="2"/>
    </font>
    <font>
      <b/>
      <sz val="10"/>
      <color indexed="15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12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5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16"/>
      <color indexed="15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b/>
      <sz val="10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rgb="FFFF0000"/>
      <name val="Arial"/>
      <family val="2"/>
    </font>
    <font>
      <sz val="8"/>
      <color theme="0"/>
      <name val="Arial"/>
      <family val="2"/>
    </font>
    <font>
      <b/>
      <sz val="10"/>
      <color theme="0" tint="-0.04997999966144562"/>
      <name val="Arial"/>
      <family val="2"/>
    </font>
    <font>
      <b/>
      <sz val="14"/>
      <color theme="0" tint="-0.04997999966144562"/>
      <name val="Arial"/>
      <family val="2"/>
    </font>
    <font>
      <b/>
      <sz val="10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1"/>
      <color theme="1"/>
      <name val="Segoe UI"/>
      <family val="2"/>
    </font>
    <font>
      <sz val="20"/>
      <color theme="1"/>
      <name val="Trajan Pro"/>
      <family val="1"/>
    </font>
    <font>
      <b/>
      <sz val="14"/>
      <color theme="1"/>
      <name val="Segoe U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theme="4" tint="0.3999499976634979"/>
      </patternFill>
    </fill>
    <fill>
      <patternFill patternType="solid">
        <fgColor theme="3" tint="0.39998000860214233"/>
        <bgColor indexed="64"/>
      </patternFill>
    </fill>
    <fill>
      <patternFill patternType="gray0625">
        <bgColor theme="3" tint="0.3999499976634979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170" fontId="21" fillId="29" borderId="0" applyFont="0" applyBorder="0">
      <alignment/>
      <protection/>
    </xf>
    <xf numFmtId="171" fontId="2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38" fontId="7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31" borderId="1" applyNumberFormat="0" applyAlignment="0" applyProtection="0"/>
    <xf numFmtId="10" fontId="7" fillId="32" borderId="6" applyNumberFormat="0" applyBorder="0" applyAlignment="0" applyProtection="0"/>
    <xf numFmtId="0" fontId="95" fillId="0" borderId="7" applyNumberFormat="0" applyFill="0" applyAlignment="0" applyProtection="0"/>
    <xf numFmtId="0" fontId="96" fillId="33" borderId="0" applyNumberFormat="0" applyBorder="0" applyAlignment="0" applyProtection="0"/>
    <xf numFmtId="37" fontId="63" fillId="0" borderId="0">
      <alignment/>
      <protection/>
    </xf>
    <xf numFmtId="172" fontId="6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34" borderId="8" applyNumberFormat="0" applyFont="0" applyAlignment="0" applyProtection="0"/>
    <xf numFmtId="0" fontId="97" fillId="27" borderId="9" applyNumberFormat="0" applyAlignment="0" applyProtection="0"/>
    <xf numFmtId="9" fontId="0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100" fillId="0" borderId="0" applyNumberFormat="0" applyFill="0" applyBorder="0" applyAlignment="0" applyProtection="0"/>
  </cellStyleXfs>
  <cellXfs count="4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01" fillId="35" borderId="11" xfId="0" applyFont="1" applyFill="1" applyBorder="1" applyAlignment="1">
      <alignment horizontal="center" vertical="center" wrapText="1"/>
    </xf>
    <xf numFmtId="0" fontId="101" fillId="36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5" fontId="5" fillId="0" borderId="0" xfId="42" applyNumberFormat="1" applyFont="1" applyFill="1" applyBorder="1" applyAlignment="1">
      <alignment horizontal="right" vertical="center" wrapText="1"/>
    </xf>
    <xf numFmtId="166" fontId="5" fillId="0" borderId="0" xfId="42" applyNumberFormat="1" applyFont="1" applyFill="1" applyBorder="1" applyAlignment="1">
      <alignment horizontal="right" vertical="center" wrapText="1"/>
    </xf>
    <xf numFmtId="164" fontId="102" fillId="10" borderId="6" xfId="45" applyNumberFormat="1" applyFont="1" applyFill="1" applyBorder="1" applyAlignment="1">
      <alignment horizontal="right" vertical="center" wrapText="1"/>
    </xf>
    <xf numFmtId="164" fontId="102" fillId="13" borderId="6" xfId="45" applyFont="1" applyFill="1" applyBorder="1" applyAlignment="1">
      <alignment horizontal="center" vertical="center"/>
    </xf>
    <xf numFmtId="164" fontId="102" fillId="37" borderId="6" xfId="45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1" fillId="38" borderId="13" xfId="0" applyFont="1" applyFill="1" applyBorder="1" applyAlignment="1">
      <alignment horizontal="center" vertical="center"/>
    </xf>
    <xf numFmtId="0" fontId="101" fillId="38" borderId="14" xfId="0" applyFont="1" applyFill="1" applyBorder="1" applyAlignment="1">
      <alignment vertical="center"/>
    </xf>
    <xf numFmtId="0" fontId="101" fillId="38" borderId="14" xfId="0" applyFont="1" applyFill="1" applyBorder="1" applyAlignment="1">
      <alignment horizontal="right" vertical="center"/>
    </xf>
    <xf numFmtId="164" fontId="101" fillId="38" borderId="15" xfId="45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45" applyNumberFormat="1" applyFont="1" applyFill="1" applyBorder="1" applyAlignment="1">
      <alignment horizontal="right" vertical="center" wrapText="1"/>
    </xf>
    <xf numFmtId="0" fontId="103" fillId="0" borderId="0" xfId="0" applyFont="1" applyAlignment="1">
      <alignment/>
    </xf>
    <xf numFmtId="164" fontId="103" fillId="0" borderId="0" xfId="0" applyNumberFormat="1" applyFont="1" applyAlignment="1">
      <alignment/>
    </xf>
    <xf numFmtId="164" fontId="10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4" fontId="102" fillId="0" borderId="6" xfId="45" applyNumberFormat="1" applyFont="1" applyFill="1" applyBorder="1" applyAlignment="1">
      <alignment horizontal="right" vertical="center" wrapText="1"/>
    </xf>
    <xf numFmtId="164" fontId="5" fillId="0" borderId="6" xfId="45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64" fontId="7" fillId="0" borderId="14" xfId="45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39" borderId="16" xfId="0" applyFont="1" applyFill="1" applyBorder="1" applyAlignment="1">
      <alignment horizontal="center" vertical="center" wrapText="1"/>
    </xf>
    <xf numFmtId="0" fontId="107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top" wrapText="1"/>
    </xf>
    <xf numFmtId="0" fontId="108" fillId="0" borderId="16" xfId="0" applyFont="1" applyFill="1" applyBorder="1" applyAlignment="1">
      <alignment horizontal="center" vertical="center" wrapText="1"/>
    </xf>
    <xf numFmtId="164" fontId="108" fillId="0" borderId="16" xfId="45" applyFont="1" applyFill="1" applyBorder="1" applyAlignment="1">
      <alignment horizontal="center" vertical="center" wrapText="1"/>
    </xf>
    <xf numFmtId="164" fontId="105" fillId="0" borderId="0" xfId="0" applyNumberFormat="1" applyFont="1" applyAlignment="1">
      <alignment/>
    </xf>
    <xf numFmtId="0" fontId="109" fillId="0" borderId="16" xfId="0" applyFont="1" applyFill="1" applyBorder="1" applyAlignment="1">
      <alignment vertical="center" wrapText="1"/>
    </xf>
    <xf numFmtId="0" fontId="108" fillId="0" borderId="16" xfId="0" applyFont="1" applyFill="1" applyBorder="1" applyAlignment="1">
      <alignment horizontal="left" vertical="top" wrapText="1"/>
    </xf>
    <xf numFmtId="0" fontId="109" fillId="0" borderId="17" xfId="0" applyFont="1" applyFill="1" applyBorder="1" applyAlignment="1">
      <alignment vertical="center" wrapText="1"/>
    </xf>
    <xf numFmtId="0" fontId="109" fillId="0" borderId="18" xfId="0" applyFont="1" applyFill="1" applyBorder="1" applyAlignment="1">
      <alignment vertical="center" wrapText="1"/>
    </xf>
    <xf numFmtId="0" fontId="105" fillId="0" borderId="18" xfId="0" applyFont="1" applyBorder="1" applyAlignment="1">
      <alignment/>
    </xf>
    <xf numFmtId="0" fontId="107" fillId="0" borderId="19" xfId="0" applyFont="1" applyFill="1" applyBorder="1" applyAlignment="1">
      <alignment vertical="center" wrapText="1"/>
    </xf>
    <xf numFmtId="164" fontId="106" fillId="0" borderId="16" xfId="45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vertical="center" wrapText="1"/>
    </xf>
    <xf numFmtId="0" fontId="107" fillId="0" borderId="20" xfId="0" applyFont="1" applyBorder="1" applyAlignment="1">
      <alignment horizontal="right"/>
    </xf>
    <xf numFmtId="164" fontId="106" fillId="0" borderId="20" xfId="45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109" fillId="0" borderId="0" xfId="0" applyFont="1" applyFill="1" applyBorder="1" applyAlignment="1">
      <alignment wrapText="1"/>
    </xf>
    <xf numFmtId="0" fontId="107" fillId="0" borderId="21" xfId="0" applyFont="1" applyBorder="1" applyAlignment="1">
      <alignment horizontal="right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7" fillId="0" borderId="0" xfId="0" applyFont="1" applyBorder="1" applyAlignment="1">
      <alignment horizontal="right"/>
    </xf>
    <xf numFmtId="0" fontId="105" fillId="0" borderId="0" xfId="0" applyFont="1" applyBorder="1" applyAlignment="1">
      <alignment horizontal="right"/>
    </xf>
    <xf numFmtId="164" fontId="106" fillId="0" borderId="0" xfId="45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40" borderId="6" xfId="0" applyFill="1" applyBorder="1" applyAlignment="1">
      <alignment/>
    </xf>
    <xf numFmtId="164" fontId="0" fillId="0" borderId="6" xfId="0" applyNumberFormat="1" applyBorder="1" applyAlignment="1">
      <alignment/>
    </xf>
    <xf numFmtId="0" fontId="0" fillId="41" borderId="6" xfId="0" applyFill="1" applyBorder="1" applyAlignment="1">
      <alignment/>
    </xf>
    <xf numFmtId="0" fontId="0" fillId="42" borderId="6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164" fontId="17" fillId="0" borderId="22" xfId="45" applyFont="1" applyBorder="1" applyAlignment="1">
      <alignment horizontal="center"/>
    </xf>
    <xf numFmtId="0" fontId="18" fillId="0" borderId="0" xfId="0" applyFont="1" applyFill="1" applyAlignment="1">
      <alignment/>
    </xf>
    <xf numFmtId="0" fontId="17" fillId="41" borderId="0" xfId="0" applyFont="1" applyFill="1" applyAlignment="1">
      <alignment/>
    </xf>
    <xf numFmtId="0" fontId="2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21" fillId="0" borderId="6" xfId="0" applyFont="1" applyFill="1" applyBorder="1" applyAlignment="1">
      <alignment horizontal="center"/>
    </xf>
    <xf numFmtId="164" fontId="18" fillId="0" borderId="6" xfId="45" applyFont="1" applyFill="1" applyBorder="1" applyAlignment="1">
      <alignment horizontal="center"/>
    </xf>
    <xf numFmtId="167" fontId="18" fillId="0" borderId="6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center"/>
    </xf>
    <xf numFmtId="167" fontId="18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4" fontId="18" fillId="0" borderId="0" xfId="45" applyFont="1" applyFill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23" fillId="41" borderId="0" xfId="0" applyNumberFormat="1" applyFont="1" applyFill="1" applyBorder="1" applyAlignment="1">
      <alignment horizontal="center"/>
    </xf>
    <xf numFmtId="164" fontId="18" fillId="0" borderId="0" xfId="45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11" fillId="0" borderId="0" xfId="0" applyFont="1" applyFill="1" applyAlignment="1">
      <alignment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64" fontId="18" fillId="0" borderId="23" xfId="45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right"/>
    </xf>
    <xf numFmtId="0" fontId="112" fillId="0" borderId="6" xfId="0" applyFont="1" applyFill="1" applyBorder="1" applyAlignment="1">
      <alignment horizontal="center"/>
    </xf>
    <xf numFmtId="0" fontId="112" fillId="0" borderId="6" xfId="0" applyFont="1" applyFill="1" applyBorder="1" applyAlignment="1">
      <alignment/>
    </xf>
    <xf numFmtId="167" fontId="18" fillId="0" borderId="6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6" xfId="45" applyNumberFormat="1" applyFont="1" applyFill="1" applyBorder="1" applyAlignment="1">
      <alignment horizontal="center"/>
    </xf>
    <xf numFmtId="164" fontId="21" fillId="0" borderId="6" xfId="45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/>
    </xf>
    <xf numFmtId="167" fontId="21" fillId="0" borderId="0" xfId="0" applyNumberFormat="1" applyFont="1" applyFill="1" applyAlignment="1">
      <alignment/>
    </xf>
    <xf numFmtId="164" fontId="21" fillId="0" borderId="0" xfId="45" applyFont="1" applyFill="1" applyAlignment="1">
      <alignment horizontal="center"/>
    </xf>
    <xf numFmtId="164" fontId="21" fillId="0" borderId="0" xfId="45" applyFon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25" fillId="0" borderId="0" xfId="45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17" fillId="0" borderId="0" xfId="45" applyFont="1" applyAlignment="1">
      <alignment/>
    </xf>
    <xf numFmtId="164" fontId="113" fillId="0" borderId="22" xfId="45" applyFont="1" applyBorder="1" applyAlignment="1">
      <alignment horizontal="center" vertical="center"/>
    </xf>
    <xf numFmtId="164" fontId="111" fillId="0" borderId="22" xfId="45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164" fontId="21" fillId="0" borderId="11" xfId="45" applyFont="1" applyFill="1" applyBorder="1" applyAlignment="1">
      <alignment horizontal="center"/>
    </xf>
    <xf numFmtId="164" fontId="17" fillId="0" borderId="11" xfId="45" applyFont="1" applyBorder="1" applyAlignment="1">
      <alignment horizontal="center"/>
    </xf>
    <xf numFmtId="0" fontId="114" fillId="0" borderId="0" xfId="0" applyFont="1" applyFill="1" applyAlignment="1">
      <alignment horizontal="left" vertical="center"/>
    </xf>
    <xf numFmtId="164" fontId="17" fillId="0" borderId="0" xfId="45" applyFont="1" applyFill="1" applyAlignment="1">
      <alignment/>
    </xf>
    <xf numFmtId="164" fontId="21" fillId="0" borderId="6" xfId="45" applyFont="1" applyFill="1" applyBorder="1" applyAlignment="1">
      <alignment/>
    </xf>
    <xf numFmtId="0" fontId="22" fillId="0" borderId="6" xfId="61" applyFont="1" applyFill="1" applyBorder="1" applyAlignment="1" applyProtection="1">
      <alignment horizontal="center"/>
      <protection/>
    </xf>
    <xf numFmtId="0" fontId="18" fillId="41" borderId="6" xfId="0" applyFont="1" applyFill="1" applyBorder="1" applyAlignment="1">
      <alignment/>
    </xf>
    <xf numFmtId="167" fontId="17" fillId="0" borderId="0" xfId="0" applyNumberFormat="1" applyFont="1" applyFill="1" applyAlignment="1">
      <alignment horizontal="right"/>
    </xf>
    <xf numFmtId="0" fontId="114" fillId="0" borderId="0" xfId="0" applyFont="1" applyFill="1" applyAlignment="1">
      <alignment horizontal="left"/>
    </xf>
    <xf numFmtId="164" fontId="21" fillId="0" borderId="0" xfId="45" applyFont="1" applyFill="1" applyAlignment="1">
      <alignment/>
    </xf>
    <xf numFmtId="0" fontId="23" fillId="0" borderId="6" xfId="0" applyFont="1" applyFill="1" applyBorder="1" applyAlignment="1">
      <alignment/>
    </xf>
    <xf numFmtId="0" fontId="23" fillId="41" borderId="6" xfId="0" applyFont="1" applyFill="1" applyBorder="1" applyAlignment="1">
      <alignment/>
    </xf>
    <xf numFmtId="0" fontId="114" fillId="0" borderId="0" xfId="0" applyFont="1" applyFill="1" applyAlignment="1">
      <alignment/>
    </xf>
    <xf numFmtId="0" fontId="23" fillId="0" borderId="6" xfId="0" applyFont="1" applyBorder="1" applyAlignment="1">
      <alignment/>
    </xf>
    <xf numFmtId="0" fontId="0" fillId="0" borderId="6" xfId="0" applyBorder="1" applyAlignment="1">
      <alignment/>
    </xf>
    <xf numFmtId="164" fontId="21" fillId="0" borderId="6" xfId="45" applyFont="1" applyBorder="1" applyAlignment="1">
      <alignment/>
    </xf>
    <xf numFmtId="164" fontId="21" fillId="0" borderId="0" xfId="45" applyFont="1" applyAlignment="1">
      <alignment/>
    </xf>
    <xf numFmtId="164" fontId="21" fillId="0" borderId="0" xfId="45" applyFont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164" fontId="23" fillId="0" borderId="6" xfId="0" applyNumberFormat="1" applyFont="1" applyBorder="1" applyAlignment="1">
      <alignment horizontal="center"/>
    </xf>
    <xf numFmtId="164" fontId="21" fillId="0" borderId="6" xfId="45" applyFont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7" fontId="18" fillId="0" borderId="24" xfId="0" applyNumberFormat="1" applyFont="1" applyFill="1" applyBorder="1" applyAlignment="1">
      <alignment/>
    </xf>
    <xf numFmtId="167" fontId="17" fillId="0" borderId="0" xfId="0" applyNumberFormat="1" applyFont="1" applyFill="1" applyAlignment="1">
      <alignment/>
    </xf>
    <xf numFmtId="0" fontId="21" fillId="0" borderId="25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164" fontId="21" fillId="0" borderId="25" xfId="45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/>
    </xf>
    <xf numFmtId="164" fontId="21" fillId="0" borderId="0" xfId="45" applyFont="1" applyBorder="1" applyAlignment="1">
      <alignment/>
    </xf>
    <xf numFmtId="167" fontId="2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23" fillId="0" borderId="6" xfId="0" applyNumberFormat="1" applyFont="1" applyFill="1" applyBorder="1" applyAlignment="1">
      <alignment horizontal="center"/>
    </xf>
    <xf numFmtId="0" fontId="18" fillId="0" borderId="6" xfId="0" applyFont="1" applyBorder="1" applyAlignment="1">
      <alignment/>
    </xf>
    <xf numFmtId="167" fontId="17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7" fontId="114" fillId="0" borderId="0" xfId="0" applyNumberFormat="1" applyFont="1" applyAlignment="1">
      <alignment/>
    </xf>
    <xf numFmtId="0" fontId="101" fillId="43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4" fontId="115" fillId="0" borderId="11" xfId="45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01" fillId="4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68" applyFont="1">
      <alignment/>
      <protection/>
    </xf>
    <xf numFmtId="0" fontId="32" fillId="0" borderId="0" xfId="68" applyFont="1" applyFill="1">
      <alignment/>
      <protection/>
    </xf>
    <xf numFmtId="0" fontId="116" fillId="0" borderId="0" xfId="68" applyFont="1" applyFill="1" applyBorder="1">
      <alignment/>
      <protection/>
    </xf>
    <xf numFmtId="0" fontId="32" fillId="0" borderId="0" xfId="68" applyFont="1" applyFill="1" applyBorder="1">
      <alignment/>
      <protection/>
    </xf>
    <xf numFmtId="43" fontId="32" fillId="0" borderId="0" xfId="44" applyFont="1" applyAlignment="1">
      <alignment/>
    </xf>
    <xf numFmtId="0" fontId="33" fillId="0" borderId="0" xfId="68" applyFont="1" applyAlignment="1">
      <alignment/>
      <protection/>
    </xf>
    <xf numFmtId="0" fontId="33" fillId="0" borderId="0" xfId="68" applyFont="1" applyAlignment="1">
      <alignment horizontal="center"/>
      <protection/>
    </xf>
    <xf numFmtId="0" fontId="117" fillId="0" borderId="0" xfId="68" applyFont="1" applyAlignment="1">
      <alignment/>
      <protection/>
    </xf>
    <xf numFmtId="0" fontId="35" fillId="0" borderId="0" xfId="68" applyFont="1" applyAlignment="1">
      <alignment/>
      <protection/>
    </xf>
    <xf numFmtId="0" fontId="35" fillId="0" borderId="0" xfId="68" applyFont="1" applyAlignment="1">
      <alignment horizontal="center"/>
      <protection/>
    </xf>
    <xf numFmtId="0" fontId="115" fillId="0" borderId="0" xfId="68" applyFont="1" applyAlignment="1">
      <alignment/>
      <protection/>
    </xf>
    <xf numFmtId="0" fontId="115" fillId="0" borderId="0" xfId="68" applyFont="1" applyAlignment="1">
      <alignment horizontal="center"/>
      <protection/>
    </xf>
    <xf numFmtId="0" fontId="17" fillId="0" borderId="0" xfId="68" applyFont="1" applyAlignment="1">
      <alignment/>
      <protection/>
    </xf>
    <xf numFmtId="43" fontId="115" fillId="0" borderId="0" xfId="44" applyFont="1" applyFill="1" applyAlignment="1">
      <alignment/>
    </xf>
    <xf numFmtId="0" fontId="115" fillId="0" borderId="0" xfId="68" applyFont="1" applyFill="1" applyBorder="1">
      <alignment/>
      <protection/>
    </xf>
    <xf numFmtId="0" fontId="118" fillId="0" borderId="0" xfId="68" applyFont="1" applyAlignment="1">
      <alignment wrapText="1"/>
      <protection/>
    </xf>
    <xf numFmtId="0" fontId="116" fillId="0" borderId="0" xfId="68" applyFont="1" applyFill="1">
      <alignment/>
      <protection/>
    </xf>
    <xf numFmtId="0" fontId="32" fillId="0" borderId="0" xfId="68" applyFont="1" applyBorder="1">
      <alignment/>
      <protection/>
    </xf>
    <xf numFmtId="0" fontId="37" fillId="41" borderId="26" xfId="68" applyFont="1" applyFill="1" applyBorder="1" applyAlignment="1">
      <alignment horizontal="center"/>
      <protection/>
    </xf>
    <xf numFmtId="0" fontId="25" fillId="41" borderId="27" xfId="68" applyFont="1" applyFill="1" applyBorder="1" applyAlignment="1">
      <alignment horizontal="center" wrapText="1"/>
      <protection/>
    </xf>
    <xf numFmtId="0" fontId="25" fillId="41" borderId="14" xfId="68" applyFont="1" applyFill="1" applyBorder="1" applyAlignment="1">
      <alignment horizontal="center" wrapText="1"/>
      <protection/>
    </xf>
    <xf numFmtId="0" fontId="119" fillId="0" borderId="28" xfId="68" applyFont="1" applyFill="1" applyBorder="1" applyAlignment="1">
      <alignment horizontal="center" wrapText="1"/>
      <protection/>
    </xf>
    <xf numFmtId="0" fontId="119" fillId="0" borderId="29" xfId="68" applyFont="1" applyFill="1" applyBorder="1" applyAlignment="1">
      <alignment horizontal="center" wrapText="1"/>
      <protection/>
    </xf>
    <xf numFmtId="0" fontId="17" fillId="18" borderId="29" xfId="68" applyFont="1" applyFill="1" applyBorder="1" applyAlignment="1">
      <alignment horizontal="center" wrapText="1"/>
      <protection/>
    </xf>
    <xf numFmtId="0" fontId="17" fillId="44" borderId="29" xfId="68" applyFont="1" applyFill="1" applyBorder="1" applyAlignment="1">
      <alignment horizontal="center" wrapText="1"/>
      <protection/>
    </xf>
    <xf numFmtId="0" fontId="17" fillId="45" borderId="29" xfId="68" applyFont="1" applyFill="1" applyBorder="1" applyAlignment="1">
      <alignment horizontal="center" wrapText="1"/>
      <protection/>
    </xf>
    <xf numFmtId="0" fontId="5" fillId="0" borderId="29" xfId="68" applyFont="1" applyFill="1" applyBorder="1" applyAlignment="1">
      <alignment horizontal="center" wrapText="1"/>
      <protection/>
    </xf>
    <xf numFmtId="0" fontId="17" fillId="41" borderId="30" xfId="68" applyFont="1" applyFill="1" applyBorder="1" applyAlignment="1">
      <alignment horizontal="center" wrapText="1"/>
      <protection/>
    </xf>
    <xf numFmtId="0" fontId="5" fillId="0" borderId="0" xfId="68" applyFont="1" applyFill="1" applyBorder="1" applyAlignment="1">
      <alignment horizontal="center" wrapText="1"/>
      <protection/>
    </xf>
    <xf numFmtId="0" fontId="37" fillId="41" borderId="31" xfId="68" applyFont="1" applyFill="1" applyBorder="1" applyAlignment="1">
      <alignment horizontal="center"/>
      <protection/>
    </xf>
    <xf numFmtId="0" fontId="120" fillId="40" borderId="32" xfId="68" applyFont="1" applyFill="1" applyBorder="1" applyAlignment="1">
      <alignment horizontal="center" wrapText="1"/>
      <protection/>
    </xf>
    <xf numFmtId="0" fontId="121" fillId="40" borderId="33" xfId="68" applyFont="1" applyFill="1" applyBorder="1" applyAlignment="1">
      <alignment horizontal="center" wrapText="1"/>
      <protection/>
    </xf>
    <xf numFmtId="0" fontId="17" fillId="41" borderId="33" xfId="68" applyFont="1" applyFill="1" applyBorder="1" applyAlignment="1">
      <alignment horizontal="center" wrapText="1"/>
      <protection/>
    </xf>
    <xf numFmtId="0" fontId="17" fillId="44" borderId="33" xfId="68" applyFont="1" applyFill="1" applyBorder="1" applyAlignment="1">
      <alignment horizontal="center" wrapText="1"/>
      <protection/>
    </xf>
    <xf numFmtId="0" fontId="17" fillId="44" borderId="34" xfId="68" applyFont="1" applyFill="1" applyBorder="1" applyAlignment="1">
      <alignment horizontal="center" wrapText="1"/>
      <protection/>
    </xf>
    <xf numFmtId="0" fontId="17" fillId="44" borderId="28" xfId="68" applyFont="1" applyFill="1" applyBorder="1" applyAlignment="1">
      <alignment horizontal="center" wrapText="1"/>
      <protection/>
    </xf>
    <xf numFmtId="0" fontId="17" fillId="41" borderId="11" xfId="68" applyFont="1" applyFill="1" applyBorder="1" applyAlignment="1">
      <alignment horizontal="center" wrapText="1"/>
      <protection/>
    </xf>
    <xf numFmtId="0" fontId="17" fillId="46" borderId="11" xfId="68" applyFont="1" applyFill="1" applyBorder="1" applyAlignment="1">
      <alignment horizontal="center" wrapText="1"/>
      <protection/>
    </xf>
    <xf numFmtId="0" fontId="122" fillId="40" borderId="33" xfId="68" applyFont="1" applyFill="1" applyBorder="1" applyAlignment="1">
      <alignment horizontal="center" wrapText="1"/>
      <protection/>
    </xf>
    <xf numFmtId="0" fontId="17" fillId="42" borderId="11" xfId="68" applyFont="1" applyFill="1" applyBorder="1" applyAlignment="1">
      <alignment horizontal="center" wrapText="1"/>
      <protection/>
    </xf>
    <xf numFmtId="0" fontId="42" fillId="0" borderId="35" xfId="68" applyFont="1" applyFill="1" applyBorder="1">
      <alignment/>
      <protection/>
    </xf>
    <xf numFmtId="0" fontId="42" fillId="0" borderId="0" xfId="68" applyFont="1" applyFill="1" applyBorder="1">
      <alignment/>
      <protection/>
    </xf>
    <xf numFmtId="43" fontId="32" fillId="0" borderId="0" xfId="44" applyFont="1" applyFill="1" applyBorder="1" applyAlignment="1">
      <alignment/>
    </xf>
    <xf numFmtId="43" fontId="116" fillId="0" borderId="0" xfId="44" applyFont="1" applyFill="1" applyBorder="1" applyAlignment="1">
      <alignment/>
    </xf>
    <xf numFmtId="43" fontId="112" fillId="0" borderId="36" xfId="44" applyFont="1" applyFill="1" applyBorder="1" applyAlignment="1">
      <alignment/>
    </xf>
    <xf numFmtId="43" fontId="116" fillId="0" borderId="37" xfId="44" applyFont="1" applyFill="1" applyBorder="1" applyAlignment="1">
      <alignment/>
    </xf>
    <xf numFmtId="0" fontId="32" fillId="0" borderId="32" xfId="68" applyFont="1" applyBorder="1">
      <alignment/>
      <protection/>
    </xf>
    <xf numFmtId="0" fontId="32" fillId="0" borderId="30" xfId="68" applyFont="1" applyBorder="1">
      <alignment/>
      <protection/>
    </xf>
    <xf numFmtId="0" fontId="32" fillId="0" borderId="36" xfId="68" applyFont="1" applyBorder="1">
      <alignment/>
      <protection/>
    </xf>
    <xf numFmtId="0" fontId="32" fillId="0" borderId="38" xfId="68" applyFont="1" applyBorder="1">
      <alignment/>
      <protection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5" fillId="46" borderId="35" xfId="68" applyFont="1" applyFill="1" applyBorder="1" applyAlignment="1">
      <alignment horizontal="center"/>
      <protection/>
    </xf>
    <xf numFmtId="0" fontId="35" fillId="46" borderId="0" xfId="68" applyFont="1" applyFill="1" applyBorder="1" applyAlignment="1">
      <alignment horizontal="center"/>
      <protection/>
    </xf>
    <xf numFmtId="0" fontId="32" fillId="46" borderId="0" xfId="68" applyFont="1" applyFill="1" applyBorder="1">
      <alignment/>
      <protection/>
    </xf>
    <xf numFmtId="0" fontId="32" fillId="46" borderId="36" xfId="68" applyFont="1" applyFill="1" applyBorder="1">
      <alignment/>
      <protection/>
    </xf>
    <xf numFmtId="0" fontId="35" fillId="46" borderId="37" xfId="68" applyFont="1" applyFill="1" applyBorder="1" applyAlignment="1">
      <alignment horizontal="center"/>
      <protection/>
    </xf>
    <xf numFmtId="0" fontId="32" fillId="46" borderId="37" xfId="68" applyFont="1" applyFill="1" applyBorder="1">
      <alignment/>
      <protection/>
    </xf>
    <xf numFmtId="0" fontId="32" fillId="46" borderId="35" xfId="68" applyFont="1" applyFill="1" applyBorder="1">
      <alignment/>
      <protection/>
    </xf>
    <xf numFmtId="0" fontId="0" fillId="46" borderId="37" xfId="0" applyFill="1" applyBorder="1" applyAlignment="1">
      <alignment/>
    </xf>
    <xf numFmtId="0" fontId="43" fillId="0" borderId="35" xfId="68" applyFont="1" applyFill="1" applyBorder="1">
      <alignment/>
      <protection/>
    </xf>
    <xf numFmtId="0" fontId="43" fillId="0" borderId="0" xfId="68" applyFont="1" applyFill="1" applyBorder="1">
      <alignment/>
      <protection/>
    </xf>
    <xf numFmtId="168" fontId="32" fillId="0" borderId="0" xfId="44" applyNumberFormat="1" applyFont="1" applyBorder="1" applyAlignment="1">
      <alignment/>
    </xf>
    <xf numFmtId="168" fontId="32" fillId="0" borderId="0" xfId="44" applyNumberFormat="1" applyFont="1" applyFill="1" applyBorder="1" applyAlignment="1">
      <alignment/>
    </xf>
    <xf numFmtId="168" fontId="116" fillId="0" borderId="0" xfId="44" applyNumberFormat="1" applyFont="1" applyFill="1" applyBorder="1" applyAlignment="1">
      <alignment/>
    </xf>
    <xf numFmtId="168" fontId="32" fillId="0" borderId="36" xfId="44" applyNumberFormat="1" applyFont="1" applyBorder="1" applyAlignment="1">
      <alignment/>
    </xf>
    <xf numFmtId="0" fontId="43" fillId="0" borderId="37" xfId="68" applyFont="1" applyFill="1" applyBorder="1">
      <alignment/>
      <protection/>
    </xf>
    <xf numFmtId="168" fontId="44" fillId="0" borderId="37" xfId="44" applyNumberFormat="1" applyFont="1" applyBorder="1" applyAlignment="1">
      <alignment/>
    </xf>
    <xf numFmtId="168" fontId="32" fillId="0" borderId="37" xfId="44" applyNumberFormat="1" applyFont="1" applyBorder="1" applyAlignment="1">
      <alignment/>
    </xf>
    <xf numFmtId="168" fontId="32" fillId="0" borderId="35" xfId="44" applyNumberFormat="1" applyFont="1" applyBorder="1" applyAlignment="1">
      <alignment/>
    </xf>
    <xf numFmtId="168" fontId="44" fillId="0" borderId="36" xfId="44" applyNumberFormat="1" applyFont="1" applyBorder="1" applyAlignment="1">
      <alignment/>
    </xf>
    <xf numFmtId="0" fontId="103" fillId="0" borderId="36" xfId="0" applyFont="1" applyBorder="1" applyAlignment="1">
      <alignment/>
    </xf>
    <xf numFmtId="0" fontId="103" fillId="0" borderId="37" xfId="0" applyFont="1" applyBorder="1" applyAlignment="1">
      <alignment/>
    </xf>
    <xf numFmtId="0" fontId="0" fillId="0" borderId="37" xfId="0" applyBorder="1" applyAlignment="1">
      <alignment/>
    </xf>
    <xf numFmtId="168" fontId="44" fillId="0" borderId="36" xfId="44" applyNumberFormat="1" applyFont="1" applyFill="1" applyBorder="1" applyAlignment="1">
      <alignment/>
    </xf>
    <xf numFmtId="168" fontId="44" fillId="0" borderId="37" xfId="44" applyNumberFormat="1" applyFont="1" applyFill="1" applyBorder="1" applyAlignment="1">
      <alignment/>
    </xf>
    <xf numFmtId="168" fontId="32" fillId="0" borderId="37" xfId="44" applyNumberFormat="1" applyFont="1" applyFill="1" applyBorder="1" applyAlignment="1">
      <alignment/>
    </xf>
    <xf numFmtId="168" fontId="32" fillId="0" borderId="35" xfId="44" applyNumberFormat="1" applyFont="1" applyFill="1" applyBorder="1" applyAlignment="1">
      <alignment/>
    </xf>
    <xf numFmtId="168" fontId="103" fillId="0" borderId="36" xfId="0" applyNumberFormat="1" applyFont="1" applyBorder="1" applyAlignment="1">
      <alignment/>
    </xf>
    <xf numFmtId="168" fontId="103" fillId="0" borderId="37" xfId="0" applyNumberFormat="1" applyFont="1" applyBorder="1" applyAlignment="1">
      <alignment/>
    </xf>
    <xf numFmtId="168" fontId="0" fillId="0" borderId="37" xfId="0" applyNumberFormat="1" applyBorder="1" applyAlignment="1">
      <alignment/>
    </xf>
    <xf numFmtId="168" fontId="32" fillId="0" borderId="36" xfId="44" applyNumberFormat="1" applyFont="1" applyFill="1" applyBorder="1" applyAlignment="1">
      <alignment/>
    </xf>
    <xf numFmtId="168" fontId="32" fillId="0" borderId="15" xfId="44" applyNumberFormat="1" applyFont="1" applyFill="1" applyBorder="1" applyAlignment="1">
      <alignment/>
    </xf>
    <xf numFmtId="168" fontId="32" fillId="0" borderId="15" xfId="44" applyNumberFormat="1" applyFont="1" applyBorder="1" applyAlignment="1">
      <alignment/>
    </xf>
    <xf numFmtId="168" fontId="44" fillId="0" borderId="0" xfId="44" applyNumberFormat="1" applyFont="1" applyFill="1" applyBorder="1" applyAlignment="1">
      <alignment/>
    </xf>
    <xf numFmtId="168" fontId="122" fillId="0" borderId="0" xfId="44" applyNumberFormat="1" applyFont="1" applyFill="1" applyBorder="1" applyAlignment="1">
      <alignment/>
    </xf>
    <xf numFmtId="168" fontId="44" fillId="0" borderId="39" xfId="44" applyNumberFormat="1" applyFont="1" applyFill="1" applyBorder="1" applyAlignment="1">
      <alignment/>
    </xf>
    <xf numFmtId="168" fontId="44" fillId="0" borderId="22" xfId="44" applyNumberFormat="1" applyFont="1" applyBorder="1" applyAlignment="1">
      <alignment/>
    </xf>
    <xf numFmtId="168" fontId="32" fillId="0" borderId="39" xfId="44" applyNumberFormat="1" applyFont="1" applyBorder="1" applyAlignment="1">
      <alignment/>
    </xf>
    <xf numFmtId="168" fontId="32" fillId="0" borderId="22" xfId="44" applyNumberFormat="1" applyFont="1" applyBorder="1" applyAlignment="1">
      <alignment/>
    </xf>
    <xf numFmtId="168" fontId="44" fillId="0" borderId="22" xfId="44" applyNumberFormat="1" applyFont="1" applyFill="1" applyBorder="1" applyAlignment="1">
      <alignment/>
    </xf>
    <xf numFmtId="168" fontId="32" fillId="0" borderId="40" xfId="44" applyNumberFormat="1" applyFont="1" applyBorder="1" applyAlignment="1">
      <alignment/>
    </xf>
    <xf numFmtId="168" fontId="103" fillId="0" borderId="22" xfId="0" applyNumberFormat="1" applyFont="1" applyBorder="1" applyAlignment="1">
      <alignment/>
    </xf>
    <xf numFmtId="168" fontId="0" fillId="0" borderId="22" xfId="0" applyNumberFormat="1" applyBorder="1" applyAlignment="1">
      <alignment/>
    </xf>
    <xf numFmtId="0" fontId="42" fillId="0" borderId="35" xfId="68" applyFont="1" applyFill="1" applyBorder="1" applyAlignment="1">
      <alignment horizontal="center"/>
      <protection/>
    </xf>
    <xf numFmtId="0" fontId="42" fillId="0" borderId="0" xfId="68" applyFont="1" applyFill="1" applyBorder="1" applyAlignment="1">
      <alignment horizontal="center"/>
      <protection/>
    </xf>
    <xf numFmtId="168" fontId="44" fillId="0" borderId="0" xfId="44" applyNumberFormat="1" applyFont="1" applyBorder="1" applyAlignment="1">
      <alignment/>
    </xf>
    <xf numFmtId="168" fontId="44" fillId="0" borderId="0" xfId="44" applyNumberFormat="1" applyFont="1" applyFill="1" applyBorder="1" applyAlignment="1">
      <alignment horizontal="center"/>
    </xf>
    <xf numFmtId="0" fontId="42" fillId="0" borderId="37" xfId="68" applyFont="1" applyFill="1" applyBorder="1" applyAlignment="1">
      <alignment horizontal="center"/>
      <protection/>
    </xf>
    <xf numFmtId="0" fontId="32" fillId="0" borderId="37" xfId="68" applyFont="1" applyBorder="1">
      <alignment/>
      <protection/>
    </xf>
    <xf numFmtId="0" fontId="32" fillId="0" borderId="22" xfId="68" applyFont="1" applyBorder="1">
      <alignment/>
      <protection/>
    </xf>
    <xf numFmtId="0" fontId="0" fillId="0" borderId="22" xfId="0" applyBorder="1" applyAlignment="1">
      <alignment/>
    </xf>
    <xf numFmtId="0" fontId="45" fillId="46" borderId="35" xfId="68" applyFont="1" applyFill="1" applyBorder="1" applyAlignment="1">
      <alignment horizontal="center"/>
      <protection/>
    </xf>
    <xf numFmtId="0" fontId="45" fillId="46" borderId="0" xfId="68" applyFont="1" applyFill="1" applyBorder="1" applyAlignment="1">
      <alignment horizontal="center"/>
      <protection/>
    </xf>
    <xf numFmtId="168" fontId="44" fillId="46" borderId="41" xfId="44" applyNumberFormat="1" applyFont="1" applyFill="1" applyBorder="1" applyAlignment="1">
      <alignment/>
    </xf>
    <xf numFmtId="168" fontId="44" fillId="0" borderId="41" xfId="44" applyNumberFormat="1" applyFont="1" applyFill="1" applyBorder="1" applyAlignment="1">
      <alignment/>
    </xf>
    <xf numFmtId="168" fontId="44" fillId="46" borderId="42" xfId="44" applyNumberFormat="1" applyFont="1" applyFill="1" applyBorder="1" applyAlignment="1">
      <alignment/>
    </xf>
    <xf numFmtId="0" fontId="45" fillId="46" borderId="37" xfId="68" applyFont="1" applyFill="1" applyBorder="1" applyAlignment="1">
      <alignment horizontal="center"/>
      <protection/>
    </xf>
    <xf numFmtId="168" fontId="44" fillId="41" borderId="43" xfId="44" applyNumberFormat="1" applyFont="1" applyFill="1" applyBorder="1" applyAlignment="1">
      <alignment/>
    </xf>
    <xf numFmtId="168" fontId="44" fillId="41" borderId="41" xfId="44" applyNumberFormat="1" applyFont="1" applyFill="1" applyBorder="1" applyAlignment="1">
      <alignment/>
    </xf>
    <xf numFmtId="168" fontId="44" fillId="35" borderId="41" xfId="44" applyNumberFormat="1" applyFont="1" applyFill="1" applyBorder="1" applyAlignment="1">
      <alignment/>
    </xf>
    <xf numFmtId="168" fontId="44" fillId="35" borderId="44" xfId="44" applyNumberFormat="1" applyFont="1" applyFill="1" applyBorder="1" applyAlignment="1">
      <alignment/>
    </xf>
    <xf numFmtId="168" fontId="44" fillId="35" borderId="45" xfId="44" applyNumberFormat="1" applyFont="1" applyFill="1" applyBorder="1" applyAlignment="1">
      <alignment/>
    </xf>
    <xf numFmtId="0" fontId="17" fillId="41" borderId="27" xfId="68" applyFont="1" applyFill="1" applyBorder="1" applyAlignment="1">
      <alignment horizontal="center" wrapText="1"/>
      <protection/>
    </xf>
    <xf numFmtId="168" fontId="17" fillId="47" borderId="0" xfId="44" applyNumberFormat="1" applyFont="1" applyFill="1" applyBorder="1" applyAlignment="1">
      <alignment horizontal="center"/>
    </xf>
    <xf numFmtId="168" fontId="17" fillId="47" borderId="0" xfId="44" applyNumberFormat="1" applyFont="1" applyFill="1" applyBorder="1" applyAlignment="1">
      <alignment horizontal="center" wrapText="1"/>
    </xf>
    <xf numFmtId="168" fontId="17" fillId="47" borderId="36" xfId="44" applyNumberFormat="1" applyFont="1" applyFill="1" applyBorder="1" applyAlignment="1">
      <alignment horizontal="center" wrapText="1"/>
    </xf>
    <xf numFmtId="0" fontId="17" fillId="44" borderId="27" xfId="68" applyFont="1" applyFill="1" applyBorder="1" applyAlignment="1">
      <alignment horizontal="center" wrapText="1"/>
      <protection/>
    </xf>
    <xf numFmtId="0" fontId="17" fillId="44" borderId="46" xfId="68" applyFont="1" applyFill="1" applyBorder="1" applyAlignment="1">
      <alignment horizontal="center" wrapText="1"/>
      <protection/>
    </xf>
    <xf numFmtId="0" fontId="17" fillId="44" borderId="14" xfId="68" applyFont="1" applyFill="1" applyBorder="1" applyAlignment="1">
      <alignment horizontal="center" wrapText="1"/>
      <protection/>
    </xf>
    <xf numFmtId="0" fontId="17" fillId="44" borderId="11" xfId="68" applyFont="1" applyFill="1" applyBorder="1" applyAlignment="1">
      <alignment horizontal="center" wrapText="1"/>
      <protection/>
    </xf>
    <xf numFmtId="0" fontId="17" fillId="0" borderId="37" xfId="68" applyFont="1" applyFill="1" applyBorder="1" applyAlignment="1">
      <alignment horizontal="center" wrapText="1"/>
      <protection/>
    </xf>
    <xf numFmtId="0" fontId="17" fillId="0" borderId="0" xfId="68" applyFont="1" applyFill="1" applyBorder="1" applyAlignment="1">
      <alignment horizontal="center" wrapText="1"/>
      <protection/>
    </xf>
    <xf numFmtId="0" fontId="17" fillId="0" borderId="36" xfId="68" applyFont="1" applyFill="1" applyBorder="1" applyAlignment="1">
      <alignment horizontal="center" wrapText="1"/>
      <protection/>
    </xf>
    <xf numFmtId="0" fontId="122" fillId="0" borderId="37" xfId="68" applyFont="1" applyFill="1" applyBorder="1" applyAlignment="1">
      <alignment horizontal="center" wrapText="1"/>
      <protection/>
    </xf>
    <xf numFmtId="0" fontId="0" fillId="0" borderId="32" xfId="0" applyFill="1" applyBorder="1" applyAlignment="1">
      <alignment/>
    </xf>
    <xf numFmtId="0" fontId="46" fillId="46" borderId="35" xfId="68" applyFont="1" applyFill="1" applyBorder="1" applyAlignment="1">
      <alignment horizontal="center"/>
      <protection/>
    </xf>
    <xf numFmtId="0" fontId="46" fillId="46" borderId="0" xfId="68" applyFont="1" applyFill="1" applyBorder="1" applyAlignment="1">
      <alignment horizontal="center"/>
      <protection/>
    </xf>
    <xf numFmtId="0" fontId="116" fillId="46" borderId="0" xfId="68" applyFont="1" applyFill="1" applyBorder="1">
      <alignment/>
      <protection/>
    </xf>
    <xf numFmtId="168" fontId="17" fillId="46" borderId="0" xfId="44" applyNumberFormat="1" applyFont="1" applyFill="1" applyBorder="1" applyAlignment="1">
      <alignment horizontal="center"/>
    </xf>
    <xf numFmtId="168" fontId="116" fillId="46" borderId="0" xfId="44" applyNumberFormat="1" applyFont="1" applyFill="1" applyBorder="1" applyAlignment="1">
      <alignment/>
    </xf>
    <xf numFmtId="168" fontId="116" fillId="46" borderId="36" xfId="44" applyNumberFormat="1" applyFont="1" applyFill="1" applyBorder="1" applyAlignment="1">
      <alignment/>
    </xf>
    <xf numFmtId="0" fontId="46" fillId="46" borderId="37" xfId="68" applyFont="1" applyFill="1" applyBorder="1" applyAlignment="1">
      <alignment horizontal="center"/>
      <protection/>
    </xf>
    <xf numFmtId="0" fontId="116" fillId="46" borderId="37" xfId="68" applyFont="1" applyFill="1" applyBorder="1">
      <alignment/>
      <protection/>
    </xf>
    <xf numFmtId="0" fontId="116" fillId="46" borderId="36" xfId="68" applyFont="1" applyFill="1" applyBorder="1">
      <alignment/>
      <protection/>
    </xf>
    <xf numFmtId="0" fontId="43" fillId="0" borderId="35" xfId="68" applyFont="1" applyBorder="1">
      <alignment/>
      <protection/>
    </xf>
    <xf numFmtId="0" fontId="43" fillId="0" borderId="0" xfId="68" applyFont="1" applyBorder="1">
      <alignment/>
      <protection/>
    </xf>
    <xf numFmtId="0" fontId="43" fillId="0" borderId="37" xfId="68" applyFont="1" applyBorder="1">
      <alignment/>
      <protection/>
    </xf>
    <xf numFmtId="168" fontId="44" fillId="0" borderId="39" xfId="44" applyNumberFormat="1" applyFont="1" applyBorder="1" applyAlignment="1">
      <alignment/>
    </xf>
    <xf numFmtId="168" fontId="44" fillId="46" borderId="43" xfId="44" applyNumberFormat="1" applyFont="1" applyFill="1" applyBorder="1" applyAlignment="1">
      <alignment/>
    </xf>
    <xf numFmtId="168" fontId="44" fillId="41" borderId="44" xfId="44" applyNumberFormat="1" applyFont="1" applyFill="1" applyBorder="1" applyAlignment="1">
      <alignment/>
    </xf>
    <xf numFmtId="168" fontId="44" fillId="46" borderId="44" xfId="44" applyNumberFormat="1" applyFont="1" applyFill="1" applyBorder="1" applyAlignment="1">
      <alignment/>
    </xf>
    <xf numFmtId="168" fontId="44" fillId="0" borderId="44" xfId="44" applyNumberFormat="1" applyFont="1" applyFill="1" applyBorder="1" applyAlignment="1">
      <alignment/>
    </xf>
    <xf numFmtId="168" fontId="42" fillId="0" borderId="0" xfId="68" applyNumberFormat="1" applyFont="1" applyFill="1" applyBorder="1">
      <alignment/>
      <protection/>
    </xf>
    <xf numFmtId="0" fontId="42" fillId="0" borderId="22" xfId="68" applyFont="1" applyFill="1" applyBorder="1">
      <alignment/>
      <protection/>
    </xf>
    <xf numFmtId="168" fontId="44" fillId="0" borderId="47" xfId="44" applyNumberFormat="1" applyFont="1" applyFill="1" applyBorder="1" applyAlignment="1">
      <alignment/>
    </xf>
    <xf numFmtId="168" fontId="44" fillId="0" borderId="48" xfId="44" applyNumberFormat="1" applyFont="1" applyFill="1" applyBorder="1" applyAlignment="1">
      <alignment/>
    </xf>
    <xf numFmtId="0" fontId="46" fillId="46" borderId="11" xfId="68" applyFont="1" applyFill="1" applyBorder="1" applyAlignment="1">
      <alignment horizontal="center"/>
      <protection/>
    </xf>
    <xf numFmtId="0" fontId="46" fillId="46" borderId="29" xfId="68" applyFont="1" applyFill="1" applyBorder="1" applyAlignment="1">
      <alignment horizontal="center"/>
      <protection/>
    </xf>
    <xf numFmtId="169" fontId="46" fillId="46" borderId="49" xfId="45" applyNumberFormat="1" applyFont="1" applyFill="1" applyBorder="1" applyAlignment="1">
      <alignment/>
    </xf>
    <xf numFmtId="169" fontId="123" fillId="0" borderId="49" xfId="45" applyNumberFormat="1" applyFont="1" applyFill="1" applyBorder="1" applyAlignment="1">
      <alignment/>
    </xf>
    <xf numFmtId="169" fontId="124" fillId="0" borderId="0" xfId="45" applyNumberFormat="1" applyFont="1" applyFill="1" applyBorder="1" applyAlignment="1">
      <alignment/>
    </xf>
    <xf numFmtId="168" fontId="46" fillId="46" borderId="49" xfId="45" applyNumberFormat="1" applyFont="1" applyFill="1" applyBorder="1" applyAlignment="1">
      <alignment/>
    </xf>
    <xf numFmtId="168" fontId="46" fillId="46" borderId="50" xfId="45" applyNumberFormat="1" applyFont="1" applyFill="1" applyBorder="1" applyAlignment="1">
      <alignment/>
    </xf>
    <xf numFmtId="0" fontId="46" fillId="41" borderId="11" xfId="68" applyFont="1" applyFill="1" applyBorder="1" applyAlignment="1">
      <alignment horizontal="center"/>
      <protection/>
    </xf>
    <xf numFmtId="169" fontId="46" fillId="41" borderId="45" xfId="45" applyNumberFormat="1" applyFont="1" applyFill="1" applyBorder="1" applyAlignment="1">
      <alignment/>
    </xf>
    <xf numFmtId="169" fontId="46" fillId="46" borderId="45" xfId="45" applyNumberFormat="1" applyFont="1" applyFill="1" applyBorder="1" applyAlignment="1">
      <alignment/>
    </xf>
    <xf numFmtId="169" fontId="46" fillId="35" borderId="45" xfId="45" applyNumberFormat="1" applyFont="1" applyFill="1" applyBorder="1" applyAlignment="1">
      <alignment/>
    </xf>
    <xf numFmtId="0" fontId="32" fillId="0" borderId="40" xfId="68" applyFont="1" applyBorder="1">
      <alignment/>
      <protection/>
    </xf>
    <xf numFmtId="0" fontId="32" fillId="0" borderId="15" xfId="68" applyFont="1" applyBorder="1">
      <alignment/>
      <protection/>
    </xf>
    <xf numFmtId="0" fontId="32" fillId="0" borderId="15" xfId="68" applyFont="1" applyFill="1" applyBorder="1">
      <alignment/>
      <protection/>
    </xf>
    <xf numFmtId="0" fontId="116" fillId="0" borderId="15" xfId="68" applyFont="1" applyFill="1" applyBorder="1">
      <alignment/>
      <protection/>
    </xf>
    <xf numFmtId="0" fontId="32" fillId="0" borderId="39" xfId="68" applyFont="1" applyBorder="1">
      <alignment/>
      <protection/>
    </xf>
    <xf numFmtId="0" fontId="21" fillId="0" borderId="0" xfId="68" applyFont="1" applyFill="1" applyBorder="1">
      <alignment/>
      <protection/>
    </xf>
    <xf numFmtId="0" fontId="112" fillId="0" borderId="0" xfId="68" applyFont="1" applyFill="1" applyBorder="1">
      <alignment/>
      <protection/>
    </xf>
    <xf numFmtId="0" fontId="21" fillId="0" borderId="0" xfId="68" applyFont="1">
      <alignment/>
      <protection/>
    </xf>
    <xf numFmtId="168" fontId="0" fillId="0" borderId="0" xfId="0" applyNumberFormat="1" applyAlignment="1">
      <alignment/>
    </xf>
    <xf numFmtId="0" fontId="21" fillId="0" borderId="0" xfId="68" applyFont="1" applyFill="1">
      <alignment/>
      <protection/>
    </xf>
    <xf numFmtId="0" fontId="125" fillId="0" borderId="0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53" fillId="0" borderId="0" xfId="68" applyFont="1" applyFill="1" applyBorder="1" applyAlignment="1">
      <alignment horizontal="center"/>
      <protection/>
    </xf>
    <xf numFmtId="0" fontId="44" fillId="0" borderId="0" xfId="68" applyFont="1" applyAlignment="1">
      <alignment horizontal="center"/>
      <protection/>
    </xf>
    <xf numFmtId="0" fontId="44" fillId="0" borderId="0" xfId="68" applyFont="1" applyFill="1" applyBorder="1" applyAlignment="1">
      <alignment horizontal="center"/>
      <protection/>
    </xf>
    <xf numFmtId="0" fontId="44" fillId="0" borderId="0" xfId="68" applyFont="1" applyFill="1" applyBorder="1" applyAlignment="1">
      <alignment horizontal="left"/>
      <protection/>
    </xf>
    <xf numFmtId="0" fontId="54" fillId="0" borderId="0" xfId="68" applyFont="1" applyAlignment="1">
      <alignment horizontal="right"/>
      <protection/>
    </xf>
    <xf numFmtId="0" fontId="35" fillId="0" borderId="6" xfId="68" applyFont="1" applyFill="1" applyBorder="1" applyAlignment="1">
      <alignment horizontal="center"/>
      <protection/>
    </xf>
    <xf numFmtId="0" fontId="44" fillId="48" borderId="6" xfId="68" applyFont="1" applyFill="1" applyBorder="1" applyAlignment="1">
      <alignment horizontal="center"/>
      <protection/>
    </xf>
    <xf numFmtId="0" fontId="44" fillId="48" borderId="24" xfId="68" applyFont="1" applyFill="1" applyBorder="1" applyAlignment="1">
      <alignment horizontal="center"/>
      <protection/>
    </xf>
    <xf numFmtId="0" fontId="44" fillId="0" borderId="51" xfId="68" applyFont="1" applyBorder="1" applyAlignment="1">
      <alignment horizontal="center" wrapText="1"/>
      <protection/>
    </xf>
    <xf numFmtId="0" fontId="44" fillId="0" borderId="6" xfId="68" applyFont="1" applyBorder="1" applyAlignment="1">
      <alignment horizontal="center" wrapText="1"/>
      <protection/>
    </xf>
    <xf numFmtId="0" fontId="32" fillId="48" borderId="0" xfId="68" applyFont="1" applyFill="1">
      <alignment/>
      <protection/>
    </xf>
    <xf numFmtId="168" fontId="44" fillId="0" borderId="52" xfId="68" applyNumberFormat="1" applyFont="1" applyFill="1" applyBorder="1">
      <alignment/>
      <protection/>
    </xf>
    <xf numFmtId="168" fontId="44" fillId="48" borderId="0" xfId="68" applyNumberFormat="1" applyFont="1" applyFill="1" applyBorder="1">
      <alignment/>
      <protection/>
    </xf>
    <xf numFmtId="0" fontId="44" fillId="48" borderId="0" xfId="68" applyFont="1" applyFill="1" applyBorder="1">
      <alignment/>
      <protection/>
    </xf>
    <xf numFmtId="0" fontId="44" fillId="0" borderId="0" xfId="68" applyFont="1" applyFill="1" applyBorder="1">
      <alignment/>
      <protection/>
    </xf>
    <xf numFmtId="168" fontId="32" fillId="0" borderId="0" xfId="68" applyNumberFormat="1" applyFont="1">
      <alignment/>
      <protection/>
    </xf>
    <xf numFmtId="168" fontId="32" fillId="0" borderId="0" xfId="44" applyNumberFormat="1" applyFont="1" applyAlignment="1">
      <alignment/>
    </xf>
    <xf numFmtId="0" fontId="32" fillId="0" borderId="0" xfId="68" applyFont="1" applyFill="1" applyAlignment="1">
      <alignment wrapText="1"/>
      <protection/>
    </xf>
    <xf numFmtId="168" fontId="32" fillId="48" borderId="0" xfId="44" applyNumberFormat="1" applyFont="1" applyFill="1" applyAlignment="1">
      <alignment/>
    </xf>
    <xf numFmtId="168" fontId="32" fillId="0" borderId="0" xfId="44" applyNumberFormat="1" applyFont="1" applyFill="1" applyAlignment="1">
      <alignment/>
    </xf>
    <xf numFmtId="43" fontId="32" fillId="0" borderId="15" xfId="44" applyFont="1" applyBorder="1" applyAlignment="1">
      <alignment/>
    </xf>
    <xf numFmtId="0" fontId="44" fillId="0" borderId="6" xfId="68" applyFont="1" applyFill="1" applyBorder="1" applyAlignment="1">
      <alignment horizontal="center"/>
      <protection/>
    </xf>
    <xf numFmtId="0" fontId="44" fillId="0" borderId="0" xfId="68" applyFont="1" applyFill="1" applyAlignment="1">
      <alignment horizontal="center"/>
      <protection/>
    </xf>
    <xf numFmtId="168" fontId="44" fillId="0" borderId="0" xfId="44" applyNumberFormat="1" applyFont="1" applyAlignment="1">
      <alignment/>
    </xf>
    <xf numFmtId="0" fontId="56" fillId="0" borderId="6" xfId="68" applyFont="1" applyFill="1" applyBorder="1" applyAlignment="1">
      <alignment horizontal="center"/>
      <protection/>
    </xf>
    <xf numFmtId="168" fontId="32" fillId="0" borderId="15" xfId="68" applyNumberFormat="1" applyFont="1" applyBorder="1">
      <alignment/>
      <protection/>
    </xf>
    <xf numFmtId="168" fontId="44" fillId="0" borderId="0" xfId="68" applyNumberFormat="1" applyFont="1" applyBorder="1">
      <alignment/>
      <protection/>
    </xf>
    <xf numFmtId="168" fontId="44" fillId="0" borderId="0" xfId="68" applyNumberFormat="1" applyFont="1" applyFill="1" applyBorder="1">
      <alignment/>
      <protection/>
    </xf>
    <xf numFmtId="0" fontId="57" fillId="0" borderId="6" xfId="68" applyFont="1" applyFill="1" applyBorder="1" applyAlignment="1">
      <alignment horizontal="center"/>
      <protection/>
    </xf>
    <xf numFmtId="0" fontId="44" fillId="0" borderId="0" xfId="68" applyFont="1" applyBorder="1">
      <alignment/>
      <protection/>
    </xf>
    <xf numFmtId="0" fontId="44" fillId="0" borderId="12" xfId="68" applyFont="1" applyFill="1" applyBorder="1" applyAlignment="1">
      <alignment horizontal="center"/>
      <protection/>
    </xf>
    <xf numFmtId="43" fontId="32" fillId="48" borderId="0" xfId="44" applyFont="1" applyFill="1" applyBorder="1" applyAlignment="1">
      <alignment/>
    </xf>
    <xf numFmtId="0" fontId="32" fillId="48" borderId="0" xfId="68" applyFont="1" applyFill="1" applyBorder="1">
      <alignment/>
      <protection/>
    </xf>
    <xf numFmtId="43" fontId="32" fillId="48" borderId="15" xfId="44" applyFont="1" applyFill="1" applyBorder="1" applyAlignment="1">
      <alignment/>
    </xf>
    <xf numFmtId="0" fontId="32" fillId="48" borderId="15" xfId="68" applyFont="1" applyFill="1" applyBorder="1">
      <alignment/>
      <protection/>
    </xf>
    <xf numFmtId="0" fontId="44" fillId="29" borderId="11" xfId="68" applyFont="1" applyFill="1" applyBorder="1" applyAlignment="1">
      <alignment horizontal="center"/>
      <protection/>
    </xf>
    <xf numFmtId="0" fontId="32" fillId="29" borderId="29" xfId="68" applyFont="1" applyFill="1" applyBorder="1">
      <alignment/>
      <protection/>
    </xf>
    <xf numFmtId="168" fontId="45" fillId="29" borderId="49" xfId="44" applyNumberFormat="1" applyFont="1" applyFill="1" applyBorder="1" applyAlignment="1">
      <alignment/>
    </xf>
    <xf numFmtId="168" fontId="45" fillId="0" borderId="0" xfId="44" applyNumberFormat="1" applyFont="1" applyFill="1" applyBorder="1" applyAlignment="1">
      <alignment/>
    </xf>
    <xf numFmtId="0" fontId="60" fillId="49" borderId="26" xfId="68" applyFont="1" applyFill="1" applyBorder="1" applyAlignment="1">
      <alignment horizontal="center"/>
      <protection/>
    </xf>
    <xf numFmtId="0" fontId="37" fillId="49" borderId="53" xfId="68" applyFont="1" applyFill="1" applyBorder="1" applyAlignment="1">
      <alignment horizontal="center"/>
      <protection/>
    </xf>
    <xf numFmtId="0" fontId="17" fillId="18" borderId="34" xfId="68" applyFont="1" applyFill="1" applyBorder="1" applyAlignment="1">
      <alignment horizontal="center" wrapText="1"/>
      <protection/>
    </xf>
    <xf numFmtId="0" fontId="17" fillId="49" borderId="34" xfId="68" applyFont="1" applyFill="1" applyBorder="1" applyAlignment="1">
      <alignment horizontal="center" wrapText="1"/>
      <protection/>
    </xf>
    <xf numFmtId="0" fontId="17" fillId="12" borderId="54" xfId="68" applyFont="1" applyFill="1" applyBorder="1" applyAlignment="1">
      <alignment horizontal="center" wrapText="1"/>
      <protection/>
    </xf>
    <xf numFmtId="0" fontId="17" fillId="49" borderId="53" xfId="68" applyFont="1" applyFill="1" applyBorder="1" applyAlignment="1">
      <alignment horizontal="center" wrapText="1"/>
      <protection/>
    </xf>
    <xf numFmtId="0" fontId="17" fillId="49" borderId="55" xfId="68" applyFont="1" applyFill="1" applyBorder="1" applyAlignment="1">
      <alignment horizontal="center" wrapText="1"/>
      <protection/>
    </xf>
    <xf numFmtId="0" fontId="17" fillId="45" borderId="56" xfId="68" applyFont="1" applyFill="1" applyBorder="1" applyAlignment="1">
      <alignment horizontal="center" wrapText="1"/>
      <protection/>
    </xf>
    <xf numFmtId="0" fontId="32" fillId="0" borderId="35" xfId="68" applyFont="1" applyBorder="1">
      <alignment/>
      <protection/>
    </xf>
    <xf numFmtId="168" fontId="44" fillId="0" borderId="35" xfId="44" applyNumberFormat="1" applyFont="1" applyFill="1" applyBorder="1" applyAlignment="1">
      <alignment/>
    </xf>
    <xf numFmtId="0" fontId="35" fillId="14" borderId="35" xfId="68" applyFont="1" applyFill="1" applyBorder="1" applyAlignment="1">
      <alignment horizontal="center"/>
      <protection/>
    </xf>
    <xf numFmtId="0" fontId="32" fillId="14" borderId="0" xfId="68" applyFont="1" applyFill="1" applyBorder="1">
      <alignment/>
      <protection/>
    </xf>
    <xf numFmtId="0" fontId="32" fillId="14" borderId="36" xfId="68" applyFont="1" applyFill="1" applyBorder="1">
      <alignment/>
      <protection/>
    </xf>
    <xf numFmtId="168" fontId="32" fillId="14" borderId="35" xfId="44" applyNumberFormat="1" applyFont="1" applyFill="1" applyBorder="1" applyAlignment="1">
      <alignment/>
    </xf>
    <xf numFmtId="168" fontId="32" fillId="14" borderId="0" xfId="44" applyNumberFormat="1" applyFont="1" applyFill="1" applyBorder="1" applyAlignment="1">
      <alignment/>
    </xf>
    <xf numFmtId="168" fontId="32" fillId="14" borderId="36" xfId="44" applyNumberFormat="1" applyFont="1" applyFill="1" applyBorder="1" applyAlignment="1">
      <alignment/>
    </xf>
    <xf numFmtId="168" fontId="21" fillId="0" borderId="36" xfId="44" applyNumberFormat="1" applyFont="1" applyBorder="1" applyAlignment="1">
      <alignment/>
    </xf>
    <xf numFmtId="168" fontId="21" fillId="0" borderId="0" xfId="44" applyNumberFormat="1" applyFont="1" applyFill="1" applyBorder="1" applyAlignment="1">
      <alignment/>
    </xf>
    <xf numFmtId="168" fontId="44" fillId="0" borderId="35" xfId="44" applyNumberFormat="1" applyFont="1" applyBorder="1" applyAlignment="1">
      <alignment/>
    </xf>
    <xf numFmtId="0" fontId="45" fillId="14" borderId="35" xfId="68" applyFont="1" applyFill="1" applyBorder="1" applyAlignment="1">
      <alignment horizontal="center"/>
      <protection/>
    </xf>
    <xf numFmtId="168" fontId="44" fillId="14" borderId="41" xfId="44" applyNumberFormat="1" applyFont="1" applyFill="1" applyBorder="1" applyAlignment="1">
      <alignment/>
    </xf>
    <xf numFmtId="168" fontId="44" fillId="50" borderId="41" xfId="44" applyNumberFormat="1" applyFont="1" applyFill="1" applyBorder="1" applyAlignment="1">
      <alignment/>
    </xf>
    <xf numFmtId="168" fontId="44" fillId="14" borderId="57" xfId="44" applyNumberFormat="1" applyFont="1" applyFill="1" applyBorder="1" applyAlignment="1">
      <alignment/>
    </xf>
    <xf numFmtId="168" fontId="44" fillId="14" borderId="42" xfId="44" applyNumberFormat="1" applyFont="1" applyFill="1" applyBorder="1" applyAlignment="1">
      <alignment/>
    </xf>
    <xf numFmtId="0" fontId="46" fillId="51" borderId="35" xfId="68" applyFont="1" applyFill="1" applyBorder="1" applyAlignment="1">
      <alignment horizontal="center"/>
      <protection/>
    </xf>
    <xf numFmtId="0" fontId="116" fillId="51" borderId="0" xfId="68" applyFont="1" applyFill="1" applyBorder="1">
      <alignment/>
      <protection/>
    </xf>
    <xf numFmtId="0" fontId="116" fillId="51" borderId="36" xfId="68" applyFont="1" applyFill="1" applyBorder="1">
      <alignment/>
      <protection/>
    </xf>
    <xf numFmtId="168" fontId="116" fillId="51" borderId="35" xfId="44" applyNumberFormat="1" applyFont="1" applyFill="1" applyBorder="1" applyAlignment="1">
      <alignment/>
    </xf>
    <xf numFmtId="168" fontId="116" fillId="51" borderId="36" xfId="44" applyNumberFormat="1" applyFont="1" applyFill="1" applyBorder="1" applyAlignment="1">
      <alignment/>
    </xf>
    <xf numFmtId="43" fontId="32" fillId="0" borderId="0" xfId="68" applyNumberFormat="1" applyFont="1">
      <alignment/>
      <protection/>
    </xf>
    <xf numFmtId="168" fontId="21" fillId="0" borderId="15" xfId="44" applyNumberFormat="1" applyFont="1" applyFill="1" applyBorder="1" applyAlignment="1">
      <alignment/>
    </xf>
    <xf numFmtId="168" fontId="21" fillId="0" borderId="39" xfId="44" applyNumberFormat="1" applyFont="1" applyFill="1" applyBorder="1" applyAlignment="1">
      <alignment/>
    </xf>
    <xf numFmtId="168" fontId="21" fillId="0" borderId="0" xfId="68" applyNumberFormat="1" applyFont="1" applyFill="1" applyBorder="1">
      <alignment/>
      <protection/>
    </xf>
    <xf numFmtId="0" fontId="60" fillId="51" borderId="35" xfId="68" applyFont="1" applyFill="1" applyBorder="1" applyAlignment="1">
      <alignment horizontal="center"/>
      <protection/>
    </xf>
    <xf numFmtId="168" fontId="60" fillId="51" borderId="0" xfId="44" applyNumberFormat="1" applyFont="1" applyFill="1" applyBorder="1" applyAlignment="1">
      <alignment/>
    </xf>
    <xf numFmtId="168" fontId="60" fillId="52" borderId="36" xfId="44" applyNumberFormat="1" applyFont="1" applyFill="1" applyBorder="1" applyAlignment="1">
      <alignment/>
    </xf>
    <xf numFmtId="168" fontId="60" fillId="0" borderId="0" xfId="44" applyNumberFormat="1" applyFont="1" applyFill="1" applyBorder="1" applyAlignment="1">
      <alignment/>
    </xf>
    <xf numFmtId="168" fontId="60" fillId="51" borderId="35" xfId="44" applyNumberFormat="1" applyFont="1" applyFill="1" applyBorder="1" applyAlignment="1">
      <alignment/>
    </xf>
    <xf numFmtId="168" fontId="60" fillId="51" borderId="36" xfId="44" applyNumberFormat="1" applyFont="1" applyFill="1" applyBorder="1" applyAlignment="1">
      <alignment/>
    </xf>
    <xf numFmtId="0" fontId="32" fillId="0" borderId="35" xfId="68" applyFont="1" applyFill="1" applyBorder="1">
      <alignment/>
      <protection/>
    </xf>
    <xf numFmtId="168" fontId="44" fillId="0" borderId="58" xfId="44" applyNumberFormat="1" applyFont="1" applyFill="1" applyBorder="1" applyAlignment="1">
      <alignment/>
    </xf>
    <xf numFmtId="0" fontId="123" fillId="51" borderId="11" xfId="68" applyFont="1" applyFill="1" applyBorder="1" applyAlignment="1">
      <alignment horizontal="center"/>
      <protection/>
    </xf>
    <xf numFmtId="169" fontId="123" fillId="51" borderId="49" xfId="45" applyNumberFormat="1" applyFont="1" applyFill="1" applyBorder="1" applyAlignment="1">
      <alignment/>
    </xf>
    <xf numFmtId="168" fontId="60" fillId="52" borderId="48" xfId="44" applyNumberFormat="1" applyFont="1" applyFill="1" applyBorder="1" applyAlignment="1">
      <alignment/>
    </xf>
    <xf numFmtId="168" fontId="123" fillId="0" borderId="0" xfId="44" applyNumberFormat="1" applyFont="1" applyFill="1" applyBorder="1" applyAlignment="1">
      <alignment/>
    </xf>
    <xf numFmtId="169" fontId="123" fillId="51" borderId="59" xfId="45" applyNumberFormat="1" applyFont="1" applyFill="1" applyBorder="1" applyAlignment="1">
      <alignment/>
    </xf>
    <xf numFmtId="169" fontId="123" fillId="51" borderId="50" xfId="45" applyNumberFormat="1" applyFont="1" applyFill="1" applyBorder="1" applyAlignment="1">
      <alignment/>
    </xf>
    <xf numFmtId="164" fontId="32" fillId="0" borderId="0" xfId="68" applyNumberFormat="1" applyFont="1">
      <alignment/>
      <protection/>
    </xf>
    <xf numFmtId="43" fontId="44" fillId="0" borderId="0" xfId="44" applyFont="1" applyAlignment="1">
      <alignment/>
    </xf>
    <xf numFmtId="0" fontId="103" fillId="0" borderId="0" xfId="0" applyFont="1" applyAlignment="1">
      <alignment/>
    </xf>
    <xf numFmtId="164" fontId="0" fillId="0" borderId="0" xfId="45" applyFont="1" applyAlignment="1">
      <alignment/>
    </xf>
    <xf numFmtId="164" fontId="0" fillId="0" borderId="6" xfId="45" applyFont="1" applyBorder="1" applyAlignment="1">
      <alignment/>
    </xf>
    <xf numFmtId="164" fontId="103" fillId="0" borderId="0" xfId="45" applyFont="1" applyAlignment="1">
      <alignment/>
    </xf>
    <xf numFmtId="0" fontId="103" fillId="0" borderId="0" xfId="0" applyFont="1" applyAlignment="1">
      <alignment horizontal="center"/>
    </xf>
    <xf numFmtId="164" fontId="127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164" fontId="103" fillId="0" borderId="6" xfId="0" applyNumberFormat="1" applyFont="1" applyBorder="1" applyAlignment="1">
      <alignment horizontal="center"/>
    </xf>
    <xf numFmtId="0" fontId="103" fillId="0" borderId="52" xfId="0" applyFont="1" applyBorder="1" applyAlignment="1">
      <alignment/>
    </xf>
    <xf numFmtId="0" fontId="103" fillId="0" borderId="6" xfId="0" applyFont="1" applyBorder="1" applyAlignment="1">
      <alignment horizontal="center"/>
    </xf>
    <xf numFmtId="0" fontId="109" fillId="0" borderId="19" xfId="0" applyFont="1" applyFill="1" applyBorder="1" applyAlignment="1">
      <alignment vertical="center" wrapText="1"/>
    </xf>
    <xf numFmtId="0" fontId="17" fillId="0" borderId="0" xfId="68" applyFont="1" applyAlignment="1">
      <alignment horizontal="center"/>
      <protection/>
    </xf>
    <xf numFmtId="0" fontId="118" fillId="0" borderId="35" xfId="68" applyFont="1" applyBorder="1" applyAlignment="1">
      <alignment horizontal="center" wrapText="1"/>
      <protection/>
    </xf>
    <xf numFmtId="0" fontId="118" fillId="0" borderId="0" xfId="68" applyFont="1" applyBorder="1" applyAlignment="1">
      <alignment horizontal="center" wrapText="1"/>
      <protection/>
    </xf>
    <xf numFmtId="0" fontId="118" fillId="0" borderId="40" xfId="68" applyFont="1" applyBorder="1" applyAlignment="1">
      <alignment horizontal="center" wrapText="1"/>
      <protection/>
    </xf>
    <xf numFmtId="0" fontId="118" fillId="0" borderId="15" xfId="68" applyFont="1" applyBorder="1" applyAlignment="1">
      <alignment horizontal="center" wrapText="1"/>
      <protection/>
    </xf>
    <xf numFmtId="0" fontId="118" fillId="0" borderId="0" xfId="68" applyFont="1" applyAlignment="1">
      <alignment horizontal="center" wrapText="1"/>
      <protection/>
    </xf>
    <xf numFmtId="0" fontId="33" fillId="0" borderId="0" xfId="68" applyFont="1" applyAlignment="1">
      <alignment horizontal="center"/>
      <protection/>
    </xf>
    <xf numFmtId="0" fontId="35" fillId="0" borderId="0" xfId="68" applyFont="1" applyAlignment="1">
      <alignment horizontal="center"/>
      <protection/>
    </xf>
    <xf numFmtId="0" fontId="115" fillId="0" borderId="0" xfId="68" applyFont="1" applyAlignment="1">
      <alignment horizontal="center"/>
      <protection/>
    </xf>
    <xf numFmtId="0" fontId="53" fillId="0" borderId="0" xfId="68" applyFont="1" applyAlignment="1">
      <alignment horizontal="center"/>
      <protection/>
    </xf>
    <xf numFmtId="0" fontId="44" fillId="0" borderId="0" xfId="68" applyFont="1" applyAlignment="1">
      <alignment horizontal="center"/>
      <protection/>
    </xf>
    <xf numFmtId="0" fontId="44" fillId="0" borderId="0" xfId="68" applyFont="1" applyAlignment="1">
      <alignment horizontal="left"/>
      <protection/>
    </xf>
    <xf numFmtId="0" fontId="128" fillId="0" borderId="0" xfId="68" applyFont="1" applyAlignment="1">
      <alignment horizont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29" fillId="0" borderId="38" xfId="0" applyFont="1" applyFill="1" applyBorder="1" applyAlignment="1">
      <alignment horizontal="center"/>
    </xf>
    <xf numFmtId="0" fontId="129" fillId="0" borderId="29" xfId="0" applyFont="1" applyFill="1" applyBorder="1" applyAlignment="1">
      <alignment horizontal="center"/>
    </xf>
    <xf numFmtId="0" fontId="129" fillId="0" borderId="30" xfId="0" applyFont="1" applyFill="1" applyBorder="1" applyAlignment="1">
      <alignment horizontal="center"/>
    </xf>
    <xf numFmtId="0" fontId="130" fillId="0" borderId="13" xfId="0" applyFont="1" applyFill="1" applyBorder="1" applyAlignment="1">
      <alignment horizontal="center"/>
    </xf>
    <xf numFmtId="0" fontId="130" fillId="0" borderId="14" xfId="0" applyFont="1" applyFill="1" applyBorder="1" applyAlignment="1">
      <alignment horizontal="center"/>
    </xf>
    <xf numFmtId="0" fontId="130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/>
    </xf>
    <xf numFmtId="0" fontId="106" fillId="53" borderId="18" xfId="0" applyFont="1" applyFill="1" applyBorder="1" applyAlignment="1">
      <alignment horizontal="center" vertical="top" wrapText="1"/>
    </xf>
    <xf numFmtId="0" fontId="109" fillId="0" borderId="20" xfId="0" applyFont="1" applyBorder="1" applyAlignment="1">
      <alignment horizontal="center"/>
    </xf>
    <xf numFmtId="0" fontId="109" fillId="0" borderId="21" xfId="0" applyFont="1" applyBorder="1" applyAlignment="1">
      <alignment horizontal="center"/>
    </xf>
    <xf numFmtId="0" fontId="107" fillId="0" borderId="18" xfId="0" applyFont="1" applyBorder="1" applyAlignment="1">
      <alignment horizontal="right"/>
    </xf>
    <xf numFmtId="0" fontId="105" fillId="0" borderId="20" xfId="0" applyFont="1" applyBorder="1" applyAlignment="1">
      <alignment/>
    </xf>
    <xf numFmtId="0" fontId="105" fillId="0" borderId="21" xfId="0" applyFont="1" applyBorder="1" applyAlignment="1">
      <alignment/>
    </xf>
    <xf numFmtId="0" fontId="107" fillId="0" borderId="18" xfId="0" applyFont="1" applyFill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right"/>
    </xf>
    <xf numFmtId="0" fontId="105" fillId="0" borderId="21" xfId="0" applyFont="1" applyBorder="1" applyAlignment="1">
      <alignment horizontal="right"/>
    </xf>
    <xf numFmtId="0" fontId="131" fillId="0" borderId="0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3" fillId="0" borderId="6" xfId="0" applyFont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3 2" xfId="49"/>
    <cellStyle name="Currency 3 3" xfId="50"/>
    <cellStyle name="Currency 4" xfId="51"/>
    <cellStyle name="custom" xfId="52"/>
    <cellStyle name="Euro" xfId="53"/>
    <cellStyle name="Explanatory Text" xfId="54"/>
    <cellStyle name="Good" xfId="55"/>
    <cellStyle name="Grey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 2" xfId="68"/>
    <cellStyle name="Normal 2 2" xfId="69"/>
    <cellStyle name="Normal 3" xfId="70"/>
    <cellStyle name="Normal 3 2" xfId="71"/>
    <cellStyle name="Normal 3 3" xfId="72"/>
    <cellStyle name="Normal 4" xfId="73"/>
    <cellStyle name="Note" xfId="74"/>
    <cellStyle name="Output" xfId="75"/>
    <cellStyle name="Percent" xfId="76"/>
    <cellStyle name="Percent [2]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in2002\Baj2002IIN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\USUARIOS\TODOS\CONTAB\Baj2001IIX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ZLOSIE\SYS\Ppto2000\VARIOS\01-02%20PPTO%2026%20HOTE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TADOR%20AGGA\ESTADOS%20FINANCIEROS\EF%202008\JULIO%202008\FLUJO%20DE%20AVANCE%20DON%20JUL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Carrillo\AppData\Local\Microsoft\Windows\Temporary%20Internet%20Files\Low\Content.IE5\PFMGNI4X\FLUJO%20EFECTIVO%20PROYECTADO%20CI%20Y%20BIBLIOTECA%20LFM%2003.Nov.1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jandra.guerrero\Local%20Settings\Temporary%20Internet%20Files\Content.Outlook\3QO2A1Z9\comparativo%20de%20costos%20Biblioteca%20Cetys%2027%20octubre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 No Essbase Cuartos"/>
      <sheetName val="Flags"/>
      <sheetName val="DBF AANT"/>
      <sheetName val="DBF PPTO"/>
      <sheetName val="DBF FMT_RES"/>
      <sheetName val="DBF AJUSTES"/>
      <sheetName val="DBF REAL"/>
      <sheetName val="R.T."/>
      <sheetName val="EDO. RES. MES y ACUM. 13 a 16 "/>
      <sheetName val="Cuartos"/>
      <sheetName val="A&amp;B"/>
      <sheetName val="Ot_Tel"/>
      <sheetName val="Ot_Lav"/>
      <sheetName val="Ot_Minis"/>
      <sheetName val="Ot_Rent. y Conc."/>
      <sheetName val="Ot_Ots Depts."/>
      <sheetName val="Admon"/>
      <sheetName val="Vtas"/>
      <sheetName val="Mtto"/>
      <sheetName val="Ene"/>
      <sheetName val="O.G.I."/>
      <sheetName val="TS"/>
      <sheetName val="Nómina 040"/>
      <sheetName val="Prorrateo Relativos"/>
      <sheetName val="Gtos.Varios   "/>
      <sheetName val="BALANCE"/>
      <sheetName val="CXC ( 9)"/>
      <sheetName val="INV (10)"/>
      <sheetName val="INVTENE"/>
      <sheetName val=" PROP Y EQ. (11)"/>
      <sheetName val="CTAS X PAGAR (12)"/>
      <sheetName val="ESTADIST"/>
      <sheetName val="Comentarios"/>
      <sheetName val="Ctas_Estadisticas"/>
      <sheetName val="# Empleados"/>
      <sheetName val="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 No Essbase Cuartos"/>
      <sheetName val="Flags"/>
      <sheetName val="DBF AANT"/>
      <sheetName val="DBF PPTO"/>
      <sheetName val="DBF FMT_RES"/>
      <sheetName val="DBF AJUSTES"/>
      <sheetName val="DBF REAL"/>
      <sheetName val="R.T."/>
      <sheetName val="EDO. RES. MES y ACUM. 13 a 16 "/>
      <sheetName val="Cuartos"/>
      <sheetName val="A&amp;B"/>
      <sheetName val="Ot_Tel"/>
      <sheetName val="Ot_Lav"/>
      <sheetName val="Ot_Minis"/>
      <sheetName val="Ot_Rent. y Conc."/>
      <sheetName val="Ot_Ots Depts."/>
      <sheetName val="Admon"/>
      <sheetName val="Vtas"/>
      <sheetName val="Mtto"/>
      <sheetName val="Ene"/>
      <sheetName val="O.G.I."/>
      <sheetName val="TS"/>
      <sheetName val="Nómina 040"/>
      <sheetName val="Prorrateo Relativos"/>
      <sheetName val="Gtos.Varios"/>
      <sheetName val="BALANCE"/>
      <sheetName val="CXC ( 9)"/>
      <sheetName val="INV (10)"/>
      <sheetName val="INVTENE"/>
      <sheetName val=" PROP Y EQ. (11)"/>
      <sheetName val="CTAS X PAGAR (12)"/>
      <sheetName val="ESTADIST"/>
      <sheetName val="Comentarios"/>
      <sheetName val="Ctas_Estadisticas"/>
      <sheetName val="# Empleados"/>
      <sheetName val="X"/>
    </sheetNames>
    <sheetDataSet>
      <sheetData sheetId="8">
        <row r="8">
          <cell r="AU8">
            <v>118</v>
          </cell>
          <cell r="AV8">
            <v>118</v>
          </cell>
          <cell r="AW8">
            <v>118</v>
          </cell>
          <cell r="AX8">
            <v>118</v>
          </cell>
          <cell r="AY8">
            <v>118</v>
          </cell>
          <cell r="AZ8">
            <v>118</v>
          </cell>
          <cell r="BA8">
            <v>118</v>
          </cell>
          <cell r="BB8">
            <v>118</v>
          </cell>
          <cell r="BC8">
            <v>118</v>
          </cell>
          <cell r="BD8">
            <v>118</v>
          </cell>
          <cell r="BE8">
            <v>118</v>
          </cell>
          <cell r="BF8">
            <v>118</v>
          </cell>
        </row>
        <row r="9">
          <cell r="AU9">
            <v>3658</v>
          </cell>
          <cell r="AV9">
            <v>3304</v>
          </cell>
          <cell r="AW9">
            <v>3658</v>
          </cell>
          <cell r="AX9">
            <v>3540</v>
          </cell>
          <cell r="AY9">
            <v>3658</v>
          </cell>
          <cell r="AZ9">
            <v>3540</v>
          </cell>
          <cell r="BA9">
            <v>3658</v>
          </cell>
          <cell r="BB9">
            <v>3658</v>
          </cell>
          <cell r="BC9">
            <v>3540</v>
          </cell>
          <cell r="BD9">
            <v>3658</v>
          </cell>
          <cell r="BE9">
            <v>3540</v>
          </cell>
          <cell r="BF9">
            <v>3658</v>
          </cell>
        </row>
        <row r="10">
          <cell r="AU10">
            <v>2690</v>
          </cell>
          <cell r="AV10">
            <v>3196</v>
          </cell>
          <cell r="AW10">
            <v>3223</v>
          </cell>
          <cell r="AX10">
            <v>3278</v>
          </cell>
          <cell r="AY10">
            <v>3512</v>
          </cell>
          <cell r="AZ10">
            <v>3475</v>
          </cell>
          <cell r="BA10">
            <v>3276</v>
          </cell>
          <cell r="BB10">
            <v>2863</v>
          </cell>
          <cell r="BC10">
            <v>1555</v>
          </cell>
          <cell r="BD10">
            <v>2096</v>
          </cell>
          <cell r="BE10">
            <v>2778</v>
          </cell>
          <cell r="BF10">
            <v>2791</v>
          </cell>
        </row>
        <row r="13">
          <cell r="AU13">
            <v>15838</v>
          </cell>
          <cell r="AV13">
            <v>23037</v>
          </cell>
          <cell r="AW13">
            <v>23281</v>
          </cell>
          <cell r="AX13">
            <v>22073</v>
          </cell>
          <cell r="AY13">
            <v>21529</v>
          </cell>
          <cell r="AZ13">
            <v>20739</v>
          </cell>
          <cell r="BA13">
            <v>19845</v>
          </cell>
          <cell r="BB13">
            <v>17343</v>
          </cell>
          <cell r="BC13">
            <v>6272</v>
          </cell>
          <cell r="BD13">
            <v>11332</v>
          </cell>
          <cell r="BE13">
            <v>14061</v>
          </cell>
          <cell r="BF13">
            <v>14257</v>
          </cell>
        </row>
        <row r="17">
          <cell r="AU17">
            <v>2433760.46</v>
          </cell>
          <cell r="AV17">
            <v>2582724.79</v>
          </cell>
          <cell r="AW17">
            <v>2987544.7800000003</v>
          </cell>
          <cell r="AX17">
            <v>2516333.81</v>
          </cell>
          <cell r="AY17">
            <v>2005236.9600000002</v>
          </cell>
          <cell r="AZ17">
            <v>2218441.3</v>
          </cell>
          <cell r="BA17">
            <v>2078322.42</v>
          </cell>
          <cell r="BB17">
            <v>1985383.06</v>
          </cell>
          <cell r="BC17">
            <v>1113388.99</v>
          </cell>
          <cell r="BD17">
            <v>1216958.5499999998</v>
          </cell>
          <cell r="BE17">
            <v>2036208.68</v>
          </cell>
          <cell r="BF17">
            <v>2964212.24</v>
          </cell>
        </row>
        <row r="18">
          <cell r="AU18">
            <v>571424.7000000001</v>
          </cell>
          <cell r="AV18">
            <v>564251.42</v>
          </cell>
          <cell r="AW18">
            <v>665176.86</v>
          </cell>
          <cell r="AX18">
            <v>733399.1699999999</v>
          </cell>
          <cell r="AY18">
            <v>630681.14</v>
          </cell>
          <cell r="AZ18">
            <v>737638.39</v>
          </cell>
          <cell r="BA18">
            <v>711489.6499999999</v>
          </cell>
          <cell r="BB18">
            <v>686596.0199999999</v>
          </cell>
          <cell r="BC18">
            <v>356427.70999999996</v>
          </cell>
          <cell r="BD18">
            <v>454872.62000000005</v>
          </cell>
          <cell r="BE18">
            <v>716759.6000000001</v>
          </cell>
          <cell r="BF18">
            <v>735751.5199999999</v>
          </cell>
        </row>
        <row r="19">
          <cell r="AU19">
            <v>431251.08</v>
          </cell>
          <cell r="AV19">
            <v>424033.57999999996</v>
          </cell>
          <cell r="AW19">
            <v>423603.20999999996</v>
          </cell>
          <cell r="AX19">
            <v>466392.39999999997</v>
          </cell>
          <cell r="AY19">
            <v>402013.07999999996</v>
          </cell>
          <cell r="AZ19">
            <v>383238.11</v>
          </cell>
          <cell r="BA19">
            <v>414441.67000000004</v>
          </cell>
          <cell r="BB19">
            <v>405179.19</v>
          </cell>
          <cell r="BC19">
            <v>395410.71</v>
          </cell>
          <cell r="BD19">
            <v>400084.65</v>
          </cell>
          <cell r="BE19">
            <v>327074.66000000003</v>
          </cell>
          <cell r="BF19">
            <v>370854.1</v>
          </cell>
        </row>
        <row r="20">
          <cell r="AU20">
            <v>3436436.24</v>
          </cell>
          <cell r="AV20">
            <v>3571009.79</v>
          </cell>
          <cell r="AW20">
            <v>4076324.85</v>
          </cell>
          <cell r="AX20">
            <v>3716125.38</v>
          </cell>
          <cell r="AY20">
            <v>3037931.18</v>
          </cell>
          <cell r="AZ20">
            <v>3339317.8</v>
          </cell>
          <cell r="BA20">
            <v>3204253.7399999998</v>
          </cell>
          <cell r="BB20">
            <v>3077158.27</v>
          </cell>
          <cell r="BC20">
            <v>1865227.41</v>
          </cell>
          <cell r="BD20">
            <v>2071915.8199999998</v>
          </cell>
          <cell r="BE20">
            <v>3080042.9400000004</v>
          </cell>
          <cell r="BF20">
            <v>4070817.8600000003</v>
          </cell>
        </row>
        <row r="23">
          <cell r="AU23">
            <v>181200.71</v>
          </cell>
          <cell r="AV23">
            <v>183975.96</v>
          </cell>
          <cell r="AW23">
            <v>179492.7</v>
          </cell>
          <cell r="AX23">
            <v>176233.98</v>
          </cell>
          <cell r="AY23">
            <v>158011.73</v>
          </cell>
          <cell r="AZ23">
            <v>169253.1</v>
          </cell>
          <cell r="BA23">
            <v>150792.68</v>
          </cell>
          <cell r="BB23">
            <v>169321.3</v>
          </cell>
          <cell r="BC23">
            <v>141133.65</v>
          </cell>
          <cell r="BD23">
            <v>140253.93</v>
          </cell>
          <cell r="BE23">
            <v>165572.52</v>
          </cell>
          <cell r="BF23">
            <v>220693.86</v>
          </cell>
        </row>
        <row r="24">
          <cell r="AU24">
            <v>304735.22</v>
          </cell>
          <cell r="AV24">
            <v>294431.42</v>
          </cell>
          <cell r="AW24">
            <v>328982.19999999995</v>
          </cell>
          <cell r="AX24">
            <v>314912.52</v>
          </cell>
          <cell r="AY24">
            <v>320866.80000000005</v>
          </cell>
          <cell r="AZ24">
            <v>330583.56</v>
          </cell>
          <cell r="BA24">
            <v>335917.94</v>
          </cell>
          <cell r="BB24">
            <v>342391.82999999996</v>
          </cell>
          <cell r="BC24">
            <v>230946.35</v>
          </cell>
          <cell r="BD24">
            <v>271808.51</v>
          </cell>
          <cell r="BE24">
            <v>320359.12</v>
          </cell>
          <cell r="BF24">
            <v>410818.99</v>
          </cell>
        </row>
        <row r="25">
          <cell r="AU25">
            <v>106302.94</v>
          </cell>
          <cell r="AV25">
            <v>106791.81999999999</v>
          </cell>
          <cell r="AW25">
            <v>121851.48</v>
          </cell>
          <cell r="AX25">
            <v>90906.26999999999</v>
          </cell>
          <cell r="AY25">
            <v>110682.45999999999</v>
          </cell>
          <cell r="AZ25">
            <v>123401.78</v>
          </cell>
          <cell r="BA25">
            <v>99925.45</v>
          </cell>
          <cell r="BB25">
            <v>87506.63</v>
          </cell>
          <cell r="BC25">
            <v>106679.75000000001</v>
          </cell>
          <cell r="BD25">
            <v>93612.58</v>
          </cell>
          <cell r="BE25">
            <v>91862.39000000001</v>
          </cell>
          <cell r="BF25">
            <v>67109.42</v>
          </cell>
        </row>
        <row r="26">
          <cell r="AU26">
            <v>592238.8699999999</v>
          </cell>
          <cell r="AV26">
            <v>585199.2</v>
          </cell>
          <cell r="AW26">
            <v>630326.38</v>
          </cell>
          <cell r="AX26">
            <v>582052.77</v>
          </cell>
          <cell r="AY26">
            <v>589560.99</v>
          </cell>
          <cell r="AZ26">
            <v>623238.4400000001</v>
          </cell>
          <cell r="BA26">
            <v>586636.07</v>
          </cell>
          <cell r="BB26">
            <v>599219.76</v>
          </cell>
          <cell r="BC26">
            <v>478759.75</v>
          </cell>
          <cell r="BD26">
            <v>505675.02</v>
          </cell>
          <cell r="BE26">
            <v>577794.03</v>
          </cell>
          <cell r="BF26">
            <v>698622.27</v>
          </cell>
        </row>
        <row r="29">
          <cell r="AU29">
            <v>2252559.75</v>
          </cell>
          <cell r="AV29">
            <v>2398748.83</v>
          </cell>
          <cell r="AW29">
            <v>2808052.08</v>
          </cell>
          <cell r="AX29">
            <v>2340099.83</v>
          </cell>
          <cell r="AY29">
            <v>1847225.2300000002</v>
          </cell>
          <cell r="AZ29">
            <v>2049188.1999999997</v>
          </cell>
          <cell r="BA29">
            <v>1927529.74</v>
          </cell>
          <cell r="BB29">
            <v>1816061.76</v>
          </cell>
          <cell r="BC29">
            <v>972255.34</v>
          </cell>
          <cell r="BD29">
            <v>1076704.6199999999</v>
          </cell>
          <cell r="BE29">
            <v>1870636.16</v>
          </cell>
          <cell r="BF29">
            <v>2743518.3800000004</v>
          </cell>
        </row>
        <row r="30">
          <cell r="AU30">
            <v>266689.4800000001</v>
          </cell>
          <cell r="AV30">
            <v>269820.00000000006</v>
          </cell>
          <cell r="AW30">
            <v>336194.66000000003</v>
          </cell>
          <cell r="AX30">
            <v>418486.6499999999</v>
          </cell>
          <cell r="AY30">
            <v>309814.33999999997</v>
          </cell>
          <cell r="AZ30">
            <v>407054.83</v>
          </cell>
          <cell r="BA30">
            <v>375571.7099999999</v>
          </cell>
          <cell r="BB30">
            <v>344204.18999999994</v>
          </cell>
          <cell r="BC30">
            <v>125481.35999999996</v>
          </cell>
          <cell r="BD30">
            <v>183064.11000000004</v>
          </cell>
          <cell r="BE30">
            <v>396400.4800000001</v>
          </cell>
          <cell r="BF30">
            <v>324932.5299999999</v>
          </cell>
        </row>
        <row r="31">
          <cell r="AU31">
            <v>324948.14</v>
          </cell>
          <cell r="AV31">
            <v>317241.75999999995</v>
          </cell>
          <cell r="AW31">
            <v>301751.73</v>
          </cell>
          <cell r="AX31">
            <v>375486.13</v>
          </cell>
          <cell r="AY31">
            <v>291330.62</v>
          </cell>
          <cell r="AZ31">
            <v>259836.33</v>
          </cell>
          <cell r="BA31">
            <v>314516.22000000003</v>
          </cell>
          <cell r="BB31">
            <v>317672.56</v>
          </cell>
          <cell r="BC31">
            <v>288730.96</v>
          </cell>
          <cell r="BD31">
            <v>306472.07</v>
          </cell>
          <cell r="BE31">
            <v>235212.27000000002</v>
          </cell>
          <cell r="BF31">
            <v>303744.68</v>
          </cell>
        </row>
        <row r="32">
          <cell r="AU32">
            <v>2844197.37</v>
          </cell>
          <cell r="AV32">
            <v>2985810.59</v>
          </cell>
          <cell r="AW32">
            <v>3445998.47</v>
          </cell>
          <cell r="AX32">
            <v>3134072.61</v>
          </cell>
          <cell r="AY32">
            <v>2448370.1900000004</v>
          </cell>
          <cell r="AZ32">
            <v>2716079.36</v>
          </cell>
          <cell r="BA32">
            <v>2617617.67</v>
          </cell>
          <cell r="BB32">
            <v>2477938.5100000002</v>
          </cell>
          <cell r="BC32">
            <v>1386467.66</v>
          </cell>
          <cell r="BD32">
            <v>1566240.8</v>
          </cell>
          <cell r="BE32">
            <v>2502248.91</v>
          </cell>
          <cell r="BF32">
            <v>3372195.5900000003</v>
          </cell>
        </row>
        <row r="34">
          <cell r="AZ34" t="str">
            <v> </v>
          </cell>
        </row>
        <row r="35">
          <cell r="AU35">
            <v>337521.49</v>
          </cell>
          <cell r="AV35">
            <v>312314.2</v>
          </cell>
          <cell r="AW35">
            <v>361790.77</v>
          </cell>
          <cell r="AX35">
            <v>315681.9</v>
          </cell>
          <cell r="AY35">
            <v>332455.06</v>
          </cell>
          <cell r="AZ35">
            <v>349030.49</v>
          </cell>
          <cell r="BA35">
            <v>345288.44</v>
          </cell>
          <cell r="BB35">
            <v>337108.04</v>
          </cell>
          <cell r="BC35">
            <v>384848.16</v>
          </cell>
          <cell r="BD35">
            <v>356684.96</v>
          </cell>
          <cell r="BE35">
            <v>467577.46</v>
          </cell>
          <cell r="BF35">
            <v>499512.12</v>
          </cell>
        </row>
        <row r="36">
          <cell r="AU36">
            <v>266424.14</v>
          </cell>
          <cell r="AV36">
            <v>261423.67</v>
          </cell>
          <cell r="AW36">
            <v>267939.07</v>
          </cell>
          <cell r="AX36">
            <v>245560</v>
          </cell>
          <cell r="AY36">
            <v>167106.29</v>
          </cell>
          <cell r="AZ36">
            <v>235882.84</v>
          </cell>
          <cell r="BA36">
            <v>174682.53</v>
          </cell>
          <cell r="BB36">
            <v>184566.96</v>
          </cell>
          <cell r="BC36">
            <v>133983.8</v>
          </cell>
          <cell r="BD36">
            <v>172662.98</v>
          </cell>
          <cell r="BE36">
            <v>217478.39</v>
          </cell>
          <cell r="BF36">
            <v>266225.77</v>
          </cell>
        </row>
        <row r="37">
          <cell r="AU37">
            <v>164406.77</v>
          </cell>
          <cell r="AV37">
            <v>214600.68</v>
          </cell>
          <cell r="AW37">
            <v>182551.01</v>
          </cell>
          <cell r="AX37">
            <v>181232.49</v>
          </cell>
          <cell r="AY37">
            <v>153898.65</v>
          </cell>
          <cell r="AZ37">
            <v>193304.63</v>
          </cell>
          <cell r="BA37">
            <v>190801.93</v>
          </cell>
          <cell r="BB37">
            <v>187369.97</v>
          </cell>
          <cell r="BC37">
            <v>173549.02</v>
          </cell>
          <cell r="BD37">
            <v>198044.65</v>
          </cell>
          <cell r="BE37">
            <v>256131.16</v>
          </cell>
          <cell r="BF37">
            <v>262395.44</v>
          </cell>
        </row>
        <row r="38">
          <cell r="AU38">
            <v>188644.46</v>
          </cell>
          <cell r="AV38">
            <v>156032.59</v>
          </cell>
          <cell r="AW38">
            <v>167612.44</v>
          </cell>
          <cell r="AX38">
            <v>155525.28</v>
          </cell>
          <cell r="AY38">
            <v>220906.83</v>
          </cell>
          <cell r="AZ38">
            <v>212076.72</v>
          </cell>
          <cell r="BA38">
            <v>184716.67</v>
          </cell>
          <cell r="BB38">
            <v>186188.69</v>
          </cell>
          <cell r="BC38">
            <v>117882.21</v>
          </cell>
          <cell r="BD38">
            <v>192236.2</v>
          </cell>
          <cell r="BE38">
            <v>158306.4</v>
          </cell>
          <cell r="BF38">
            <v>209108.71</v>
          </cell>
        </row>
        <row r="39">
          <cell r="AU39">
            <v>956996.86</v>
          </cell>
          <cell r="AV39">
            <v>944371.14</v>
          </cell>
          <cell r="AW39">
            <v>979893.29</v>
          </cell>
          <cell r="AX39">
            <v>897999.67</v>
          </cell>
          <cell r="AY39">
            <v>874366.83</v>
          </cell>
          <cell r="AZ39">
            <v>990294.6799999999</v>
          </cell>
          <cell r="BA39">
            <v>895489.57</v>
          </cell>
          <cell r="BB39">
            <v>895233.6599999999</v>
          </cell>
          <cell r="BC39">
            <v>810263.19</v>
          </cell>
          <cell r="BD39">
            <v>919628.79</v>
          </cell>
          <cell r="BE39">
            <v>1099493.4100000001</v>
          </cell>
          <cell r="BF39">
            <v>1237242.04</v>
          </cell>
        </row>
        <row r="41">
          <cell r="AU41">
            <v>1887200.5100000002</v>
          </cell>
          <cell r="AV41">
            <v>2041439.4499999997</v>
          </cell>
          <cell r="AW41">
            <v>2466105.18</v>
          </cell>
          <cell r="AX41">
            <v>2236072.94</v>
          </cell>
          <cell r="AY41">
            <v>1574003.3600000003</v>
          </cell>
          <cell r="AZ41">
            <v>1725784.68</v>
          </cell>
          <cell r="BA41">
            <v>1722128.1</v>
          </cell>
          <cell r="BB41">
            <v>1582704.8500000003</v>
          </cell>
          <cell r="BC41">
            <v>576204.47</v>
          </cell>
          <cell r="BD41">
            <v>646612.01</v>
          </cell>
          <cell r="BE41">
            <v>1402755.5</v>
          </cell>
          <cell r="BF41">
            <v>2134953.5500000003</v>
          </cell>
        </row>
        <row r="42">
          <cell r="AU42">
            <v>287218.72</v>
          </cell>
          <cell r="AV42">
            <v>311012.85</v>
          </cell>
          <cell r="AW42">
            <v>346134.57</v>
          </cell>
          <cell r="AX42">
            <v>327671.36</v>
          </cell>
          <cell r="AY42">
            <v>253326.45</v>
          </cell>
          <cell r="AZ42">
            <v>223891.08</v>
          </cell>
          <cell r="BA42">
            <v>305591.61</v>
          </cell>
          <cell r="BB42">
            <v>250097.16</v>
          </cell>
          <cell r="BC42">
            <v>160788.99</v>
          </cell>
          <cell r="BD42">
            <v>161238.23</v>
          </cell>
          <cell r="BE42">
            <v>282865.85</v>
          </cell>
          <cell r="BF42">
            <v>345074.99</v>
          </cell>
        </row>
        <row r="43">
          <cell r="AU43">
            <v>1599981.7900000003</v>
          </cell>
          <cell r="AV43">
            <v>1730426.5999999996</v>
          </cell>
          <cell r="AW43">
            <v>2119970.6100000003</v>
          </cell>
          <cell r="AX43">
            <v>1908401.58</v>
          </cell>
          <cell r="AY43">
            <v>1320676.9100000004</v>
          </cell>
          <cell r="AZ43">
            <v>1501893.5999999999</v>
          </cell>
          <cell r="BA43">
            <v>1416536.4900000002</v>
          </cell>
          <cell r="BB43">
            <v>1332607.6900000004</v>
          </cell>
          <cell r="BC43">
            <v>415415.48</v>
          </cell>
          <cell r="BD43">
            <v>485373.78</v>
          </cell>
          <cell r="BE43">
            <v>1119889.65</v>
          </cell>
          <cell r="BF43">
            <v>1789878.5600000003</v>
          </cell>
        </row>
        <row r="46">
          <cell r="AU46">
            <v>50</v>
          </cell>
          <cell r="AV46">
            <v>50</v>
          </cell>
          <cell r="AW46">
            <v>50</v>
          </cell>
          <cell r="AX46">
            <v>50</v>
          </cell>
          <cell r="AY46">
            <v>50</v>
          </cell>
          <cell r="AZ46">
            <v>50</v>
          </cell>
          <cell r="BA46">
            <v>50</v>
          </cell>
          <cell r="BB46">
            <v>50</v>
          </cell>
          <cell r="BC46">
            <v>50</v>
          </cell>
          <cell r="BD46">
            <v>50</v>
          </cell>
          <cell r="BE46">
            <v>50</v>
          </cell>
          <cell r="BF46">
            <v>50</v>
          </cell>
        </row>
        <row r="47">
          <cell r="AU47">
            <v>1550</v>
          </cell>
          <cell r="AV47">
            <v>1400</v>
          </cell>
          <cell r="AW47">
            <v>1550</v>
          </cell>
          <cell r="AX47">
            <v>1500</v>
          </cell>
          <cell r="AY47">
            <v>1550</v>
          </cell>
          <cell r="AZ47">
            <v>1500</v>
          </cell>
          <cell r="BA47">
            <v>1550</v>
          </cell>
          <cell r="BB47">
            <v>1550</v>
          </cell>
          <cell r="BC47">
            <v>1500</v>
          </cell>
          <cell r="BD47">
            <v>1550</v>
          </cell>
          <cell r="BE47">
            <v>1500</v>
          </cell>
          <cell r="BF47">
            <v>1550</v>
          </cell>
        </row>
        <row r="48">
          <cell r="AU48">
            <v>1184</v>
          </cell>
          <cell r="AV48">
            <v>1178</v>
          </cell>
          <cell r="AW48">
            <v>1438</v>
          </cell>
          <cell r="AX48">
            <v>1198</v>
          </cell>
          <cell r="AY48">
            <v>1234</v>
          </cell>
          <cell r="AZ48">
            <v>1103</v>
          </cell>
          <cell r="BA48">
            <v>1245</v>
          </cell>
          <cell r="BB48">
            <v>1320</v>
          </cell>
          <cell r="BC48">
            <v>912</v>
          </cell>
          <cell r="BD48">
            <v>937</v>
          </cell>
          <cell r="BE48">
            <v>1191</v>
          </cell>
          <cell r="BF48">
            <v>992</v>
          </cell>
        </row>
        <row r="52">
          <cell r="AU52">
            <v>278197.87</v>
          </cell>
          <cell r="AV52">
            <v>303222</v>
          </cell>
          <cell r="AW52">
            <v>331180.43</v>
          </cell>
          <cell r="AX52">
            <v>326101.24</v>
          </cell>
          <cell r="AY52">
            <v>297146.84</v>
          </cell>
          <cell r="AZ52">
            <v>267817.74</v>
          </cell>
          <cell r="BA52">
            <v>314189.32</v>
          </cell>
          <cell r="BB52">
            <v>206835.29</v>
          </cell>
          <cell r="BC52">
            <v>198067.39</v>
          </cell>
          <cell r="BD52">
            <v>124095.39</v>
          </cell>
          <cell r="BE52">
            <v>231993.58</v>
          </cell>
          <cell r="BF52">
            <v>236120.46</v>
          </cell>
        </row>
        <row r="53">
          <cell r="AU53">
            <v>187134.91</v>
          </cell>
          <cell r="AV53">
            <v>233757.89</v>
          </cell>
          <cell r="AW53">
            <v>205878.06</v>
          </cell>
          <cell r="AX53">
            <v>215839.08</v>
          </cell>
          <cell r="AY53">
            <v>210838.05</v>
          </cell>
          <cell r="AZ53">
            <v>170161.26</v>
          </cell>
          <cell r="BA53">
            <v>216790.51</v>
          </cell>
          <cell r="BB53">
            <v>165786.41</v>
          </cell>
          <cell r="BC53">
            <v>-402866.55</v>
          </cell>
          <cell r="BD53">
            <v>313155.07</v>
          </cell>
          <cell r="BE53">
            <v>156763.79</v>
          </cell>
          <cell r="BF53">
            <v>163684.71</v>
          </cell>
        </row>
        <row r="54">
          <cell r="AU54">
            <v>91062.95999999999</v>
          </cell>
          <cell r="AV54">
            <v>69464.10999999999</v>
          </cell>
          <cell r="AW54">
            <v>125302.37</v>
          </cell>
          <cell r="AX54">
            <v>110262.16</v>
          </cell>
          <cell r="AY54">
            <v>86308.79000000004</v>
          </cell>
          <cell r="AZ54">
            <v>97656.47999999998</v>
          </cell>
          <cell r="BA54">
            <v>97398.81</v>
          </cell>
          <cell r="BB54">
            <v>41048.880000000005</v>
          </cell>
          <cell r="BC54">
            <v>600933.94</v>
          </cell>
          <cell r="BD54">
            <v>-189059.68</v>
          </cell>
          <cell r="BE54">
            <v>75229.78999999998</v>
          </cell>
          <cell r="BF54">
            <v>72435.75</v>
          </cell>
        </row>
        <row r="74">
          <cell r="AU74" t="str">
            <v>ENE</v>
          </cell>
          <cell r="AV74" t="str">
            <v>FEB</v>
          </cell>
          <cell r="AW74" t="str">
            <v>MZO</v>
          </cell>
          <cell r="AX74" t="str">
            <v>ABR</v>
          </cell>
          <cell r="AY74" t="str">
            <v>MAY</v>
          </cell>
          <cell r="AZ74" t="str">
            <v>JUN</v>
          </cell>
          <cell r="BA74" t="str">
            <v>JUL</v>
          </cell>
          <cell r="BB74" t="str">
            <v>AGO</v>
          </cell>
          <cell r="BC74" t="str">
            <v>SEP</v>
          </cell>
          <cell r="BD74" t="str">
            <v>OCT</v>
          </cell>
          <cell r="BE74" t="str">
            <v>NOV</v>
          </cell>
          <cell r="BF74" t="str">
            <v>DIC</v>
          </cell>
        </row>
        <row r="75">
          <cell r="AU75">
            <v>1550</v>
          </cell>
          <cell r="AV75">
            <v>1400</v>
          </cell>
          <cell r="AW75">
            <v>1550</v>
          </cell>
          <cell r="AX75">
            <v>1500</v>
          </cell>
          <cell r="AY75">
            <v>1550</v>
          </cell>
          <cell r="AZ75">
            <v>1500</v>
          </cell>
          <cell r="BA75">
            <v>1550</v>
          </cell>
          <cell r="BB75">
            <v>1550</v>
          </cell>
          <cell r="BC75">
            <v>1500</v>
          </cell>
          <cell r="BD75">
            <v>1550</v>
          </cell>
          <cell r="BE75">
            <v>1500</v>
          </cell>
          <cell r="BF75">
            <v>1550</v>
          </cell>
        </row>
        <row r="76">
          <cell r="AU76">
            <v>10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AU78" t="str">
            <v> </v>
          </cell>
          <cell r="AV78" t="str">
            <v> </v>
          </cell>
          <cell r="AW78" t="str">
            <v> </v>
          </cell>
          <cell r="AZ78" t="str">
            <v> </v>
          </cell>
        </row>
        <row r="79">
          <cell r="AU79">
            <v>50853.09</v>
          </cell>
          <cell r="AV79">
            <v>960533.96</v>
          </cell>
          <cell r="AW79">
            <v>505457.44</v>
          </cell>
          <cell r="AX79">
            <v>494594.7</v>
          </cell>
          <cell r="AY79">
            <v>494594.7</v>
          </cell>
          <cell r="AZ79">
            <v>475851.16</v>
          </cell>
          <cell r="BA79">
            <v>464447.43</v>
          </cell>
          <cell r="BB79">
            <v>18320.92</v>
          </cell>
          <cell r="BC79">
            <v>362380.43</v>
          </cell>
          <cell r="BD79">
            <v>371456.53</v>
          </cell>
          <cell r="BE79">
            <v>317414.5</v>
          </cell>
          <cell r="BF79">
            <v>698217.92</v>
          </cell>
        </row>
        <row r="80">
          <cell r="AU80">
            <v>0</v>
          </cell>
          <cell r="AV80">
            <v>0</v>
          </cell>
          <cell r="AW80">
            <v>148445.62</v>
          </cell>
          <cell r="AX80">
            <v>0</v>
          </cell>
          <cell r="AY80">
            <v>-56122.78</v>
          </cell>
          <cell r="AZ80">
            <v>0</v>
          </cell>
          <cell r="BA80">
            <v>25058.48</v>
          </cell>
          <cell r="BB80">
            <v>3350939.58</v>
          </cell>
          <cell r="BC80">
            <v>228220.1</v>
          </cell>
          <cell r="BD80">
            <v>0</v>
          </cell>
          <cell r="BE80">
            <v>0</v>
          </cell>
          <cell r="BF80">
            <v>-300063.44</v>
          </cell>
        </row>
        <row r="81">
          <cell r="AU81">
            <v>0</v>
          </cell>
          <cell r="AV81">
            <v>0</v>
          </cell>
          <cell r="AW81">
            <v>148445.62</v>
          </cell>
          <cell r="AX81">
            <v>0</v>
          </cell>
          <cell r="AY81">
            <v>-56122.78</v>
          </cell>
          <cell r="AZ81">
            <v>0</v>
          </cell>
          <cell r="BA81">
            <v>25058.48</v>
          </cell>
          <cell r="BB81">
            <v>3350939.58</v>
          </cell>
          <cell r="BC81">
            <v>228220.1</v>
          </cell>
          <cell r="BD81">
            <v>0</v>
          </cell>
          <cell r="BE81">
            <v>0</v>
          </cell>
          <cell r="BF81">
            <v>-300063.44</v>
          </cell>
        </row>
        <row r="82">
          <cell r="AU82">
            <v>50853.09</v>
          </cell>
          <cell r="AV82">
            <v>960533.96</v>
          </cell>
          <cell r="AW82">
            <v>802348.68</v>
          </cell>
          <cell r="AX82">
            <v>494594.7</v>
          </cell>
          <cell r="AY82">
            <v>382349.14</v>
          </cell>
          <cell r="AZ82">
            <v>475851.16</v>
          </cell>
          <cell r="BA82">
            <v>514564.38999999996</v>
          </cell>
          <cell r="BB82">
            <v>6720200.08</v>
          </cell>
          <cell r="BC82">
            <v>818820.63</v>
          </cell>
          <cell r="BD82">
            <v>371456.53</v>
          </cell>
          <cell r="BE82">
            <v>317414.5</v>
          </cell>
          <cell r="BF82">
            <v>98091.04000000004</v>
          </cell>
        </row>
        <row r="83">
          <cell r="AU83">
            <v>44898.53999999999</v>
          </cell>
          <cell r="AV83">
            <v>451823.6</v>
          </cell>
          <cell r="AW83">
            <v>272485.36</v>
          </cell>
          <cell r="AX83">
            <v>244590.75999999998</v>
          </cell>
          <cell r="AY83">
            <v>233987.93</v>
          </cell>
          <cell r="AZ83">
            <v>217905.08</v>
          </cell>
          <cell r="BA83">
            <v>220826.54</v>
          </cell>
          <cell r="BB83">
            <v>176433.24</v>
          </cell>
          <cell r="BC83">
            <v>246408.86</v>
          </cell>
          <cell r="BD83">
            <v>174757.89</v>
          </cell>
          <cell r="BE83">
            <v>53829.04</v>
          </cell>
          <cell r="BF83">
            <v>195331.49</v>
          </cell>
        </row>
        <row r="85">
          <cell r="AU85">
            <v>5954.550000000003</v>
          </cell>
          <cell r="AV85">
            <v>508710.36</v>
          </cell>
          <cell r="AW85">
            <v>529863.3200000001</v>
          </cell>
          <cell r="AX85">
            <v>250003.94000000003</v>
          </cell>
          <cell r="AY85">
            <v>148361.21000000002</v>
          </cell>
          <cell r="AZ85">
            <v>257946.08</v>
          </cell>
          <cell r="BA85">
            <v>293737.85</v>
          </cell>
          <cell r="BB85">
            <v>6543766.84</v>
          </cell>
          <cell r="BC85">
            <v>572411.77</v>
          </cell>
          <cell r="BD85">
            <v>196698.64</v>
          </cell>
          <cell r="BE85">
            <v>263585.46</v>
          </cell>
          <cell r="BF85">
            <v>-97240.44999999995</v>
          </cell>
        </row>
        <row r="102">
          <cell r="AU102" t="str">
            <v>ENE</v>
          </cell>
          <cell r="AV102" t="str">
            <v>FEB</v>
          </cell>
          <cell r="AW102" t="str">
            <v>MZO</v>
          </cell>
          <cell r="AX102" t="str">
            <v>ABR</v>
          </cell>
          <cell r="AY102" t="str">
            <v>MAY</v>
          </cell>
          <cell r="AZ102" t="str">
            <v>JUN</v>
          </cell>
          <cell r="BA102" t="str">
            <v>JUL</v>
          </cell>
          <cell r="BB102" t="str">
            <v>AGO</v>
          </cell>
          <cell r="BC102" t="str">
            <v>SEP</v>
          </cell>
          <cell r="BD102" t="str">
            <v>OCT</v>
          </cell>
          <cell r="BE102" t="str">
            <v>NOV</v>
          </cell>
          <cell r="BF102" t="str">
            <v>DIC</v>
          </cell>
        </row>
        <row r="103">
          <cell r="AU103">
            <v>332256</v>
          </cell>
          <cell r="AV103">
            <v>721994</v>
          </cell>
          <cell r="AW103">
            <v>360994</v>
          </cell>
          <cell r="AX103">
            <v>360994</v>
          </cell>
          <cell r="AY103">
            <v>360994</v>
          </cell>
          <cell r="AZ103">
            <v>360994</v>
          </cell>
          <cell r="BA103">
            <v>360994</v>
          </cell>
          <cell r="BB103">
            <v>360994</v>
          </cell>
          <cell r="BC103">
            <v>360994</v>
          </cell>
          <cell r="BD103">
            <v>360994</v>
          </cell>
          <cell r="BE103">
            <v>214096</v>
          </cell>
          <cell r="BF103">
            <v>181581</v>
          </cell>
        </row>
        <row r="104"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-185508.3</v>
          </cell>
          <cell r="BE104">
            <v>0</v>
          </cell>
          <cell r="BF104">
            <v>0</v>
          </cell>
        </row>
        <row r="106">
          <cell r="AU106">
            <v>0</v>
          </cell>
          <cell r="AV106">
            <v>0</v>
          </cell>
          <cell r="AW106">
            <v>136</v>
          </cell>
          <cell r="AX106">
            <v>6790.640000000014</v>
          </cell>
          <cell r="AY106">
            <v>2127669.95</v>
          </cell>
          <cell r="AZ106">
            <v>70368.81</v>
          </cell>
          <cell r="BA106">
            <v>-997000</v>
          </cell>
          <cell r="BB106">
            <v>129458.43</v>
          </cell>
          <cell r="BC106">
            <v>87511.85999999999</v>
          </cell>
          <cell r="BD106">
            <v>132722.09999999998</v>
          </cell>
          <cell r="BE106">
            <v>223594.52000000002</v>
          </cell>
          <cell r="BF106">
            <v>17608.22</v>
          </cell>
        </row>
        <row r="108">
          <cell r="AU108">
            <v>-61231.6</v>
          </cell>
          <cell r="AV108">
            <v>-170722.59</v>
          </cell>
          <cell r="AW108">
            <v>-383966.02</v>
          </cell>
          <cell r="AX108">
            <v>-105022.85</v>
          </cell>
          <cell r="AY108">
            <v>-221232.76</v>
          </cell>
          <cell r="AZ108">
            <v>-578307.03</v>
          </cell>
          <cell r="BA108">
            <v>-212916.13</v>
          </cell>
          <cell r="BB108">
            <v>-143217.47</v>
          </cell>
          <cell r="BC108">
            <v>-94162.4</v>
          </cell>
          <cell r="BD108">
            <v>-172761.9</v>
          </cell>
          <cell r="BE108">
            <v>473140.7</v>
          </cell>
          <cell r="BF108">
            <v>-113066.44</v>
          </cell>
        </row>
        <row r="109">
          <cell r="AU109">
            <v>1344153.34</v>
          </cell>
          <cell r="AV109">
            <v>1282678.38</v>
          </cell>
          <cell r="AW109">
            <v>1662494.01</v>
          </cell>
          <cell r="AX109">
            <v>0</v>
          </cell>
          <cell r="AY109">
            <v>0</v>
          </cell>
          <cell r="AZ109">
            <v>203512.79</v>
          </cell>
          <cell r="BA109">
            <v>50556.16</v>
          </cell>
          <cell r="BB109">
            <v>-187493.51</v>
          </cell>
          <cell r="BC109">
            <v>0</v>
          </cell>
          <cell r="BD109">
            <v>0</v>
          </cell>
          <cell r="BE109">
            <v>143206.87</v>
          </cell>
          <cell r="BF109">
            <v>525383.35</v>
          </cell>
        </row>
        <row r="110">
          <cell r="AU110">
            <v>32424.19</v>
          </cell>
          <cell r="AV110">
            <v>-105021.73</v>
          </cell>
          <cell r="AW110">
            <v>-156106.51</v>
          </cell>
          <cell r="AX110">
            <v>83170.38</v>
          </cell>
          <cell r="AY110">
            <v>274133.56</v>
          </cell>
          <cell r="AZ110">
            <v>-266617.03</v>
          </cell>
          <cell r="BA110">
            <v>151114.77</v>
          </cell>
          <cell r="BB110">
            <v>-3173831.64</v>
          </cell>
          <cell r="BC110">
            <v>389479.93</v>
          </cell>
          <cell r="BD110">
            <v>424200.98</v>
          </cell>
          <cell r="BE110">
            <v>579589.87</v>
          </cell>
          <cell r="BF110">
            <v>375061.05</v>
          </cell>
        </row>
        <row r="111">
          <cell r="BF111">
            <v>0</v>
          </cell>
        </row>
        <row r="112">
          <cell r="AU112">
            <v>-616406</v>
          </cell>
          <cell r="AV112">
            <v>-1712034</v>
          </cell>
          <cell r="AW112">
            <v>-1182537</v>
          </cell>
          <cell r="AX112">
            <v>-645563</v>
          </cell>
          <cell r="AY112">
            <v>-385499</v>
          </cell>
          <cell r="AZ112">
            <v>-349586</v>
          </cell>
          <cell r="BA112">
            <v>-696950</v>
          </cell>
          <cell r="BB112">
            <v>-514032</v>
          </cell>
          <cell r="BC112">
            <v>-484865</v>
          </cell>
          <cell r="BD112">
            <v>-825481</v>
          </cell>
          <cell r="BE112">
            <v>7191780</v>
          </cell>
          <cell r="BF112">
            <v>2167110</v>
          </cell>
        </row>
        <row r="113">
          <cell r="AU113">
            <v>698939.9299999999</v>
          </cell>
          <cell r="AV113">
            <v>-705099.9400000002</v>
          </cell>
          <cell r="AW113">
            <v>-60115.52000000002</v>
          </cell>
          <cell r="AX113">
            <v>-667415.47</v>
          </cell>
          <cell r="AY113">
            <v>-332598.2</v>
          </cell>
          <cell r="AZ113">
            <v>-990997.27</v>
          </cell>
          <cell r="BA113">
            <v>-708195.2</v>
          </cell>
          <cell r="BB113">
            <v>-4018574.62</v>
          </cell>
          <cell r="BC113">
            <v>-189547.46999999997</v>
          </cell>
          <cell r="BD113">
            <v>-574041.92</v>
          </cell>
          <cell r="BE113">
            <v>8387717.4399999995</v>
          </cell>
          <cell r="BF113">
            <v>2954487.96</v>
          </cell>
        </row>
        <row r="115"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1347000</v>
          </cell>
          <cell r="BB115">
            <v>689481.8</v>
          </cell>
          <cell r="BC115">
            <v>766631</v>
          </cell>
          <cell r="BD115">
            <v>106590</v>
          </cell>
          <cell r="BE115">
            <v>9076</v>
          </cell>
          <cell r="BF115">
            <v>0</v>
          </cell>
        </row>
        <row r="116"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1347000</v>
          </cell>
          <cell r="BB117">
            <v>689481.8</v>
          </cell>
          <cell r="BC117">
            <v>766631</v>
          </cell>
          <cell r="BD117">
            <v>106590</v>
          </cell>
          <cell r="BE117">
            <v>9076</v>
          </cell>
          <cell r="BF117">
            <v>0</v>
          </cell>
        </row>
        <row r="118"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g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lujo CC y EP"/>
      <sheetName val="DONATIVOS DLLS 2008 Junio"/>
      <sheetName val="DONATIVOS M.N."/>
      <sheetName val="FONDO 6 (2)"/>
    </sheetNames>
    <sheetDataSet>
      <sheetData sheetId="2">
        <row r="8">
          <cell r="H8">
            <v>9829216</v>
          </cell>
        </row>
        <row r="43">
          <cell r="H43">
            <v>491009.11</v>
          </cell>
        </row>
        <row r="60">
          <cell r="H60">
            <v>168625</v>
          </cell>
        </row>
        <row r="70">
          <cell r="H70">
            <v>172927.90000000002</v>
          </cell>
        </row>
        <row r="77">
          <cell r="G77">
            <v>348526.25</v>
          </cell>
        </row>
        <row r="79">
          <cell r="G79">
            <v>476875.01</v>
          </cell>
        </row>
        <row r="80">
          <cell r="G80">
            <v>123643.11</v>
          </cell>
        </row>
        <row r="81">
          <cell r="G81">
            <v>30750</v>
          </cell>
        </row>
        <row r="86">
          <cell r="G86">
            <v>93002.22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NOV.2010"/>
      <sheetName val="AVANCES 31.OCT.09 "/>
      <sheetName val="PROYECTO CI Y B"/>
      <sheetName val="Obra Civil"/>
      <sheetName val="Mobiliario"/>
      <sheetName val="Eqpo Computo"/>
      <sheetName val="Sheet1"/>
    </sheetNames>
    <sheetDataSet>
      <sheetData sheetId="3">
        <row r="21">
          <cell r="K21">
            <v>35491.18076923076</v>
          </cell>
        </row>
      </sheetData>
      <sheetData sheetId="4">
        <row r="21">
          <cell r="K21">
            <v>29782.153846153848</v>
          </cell>
        </row>
      </sheetData>
      <sheetData sheetId="5">
        <row r="44">
          <cell r="I44">
            <v>7819.429999999999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RQ. ELIO"/>
      <sheetName val="PRESUPUESTO OBRA CIVIL"/>
      <sheetName val="presupuesto obra civil metric"/>
      <sheetName val="resumen metric"/>
      <sheetName val="COMPARATIVO"/>
    </sheetNames>
    <sheetDataSet>
      <sheetData sheetId="0">
        <row r="11">
          <cell r="F11">
            <v>38692.5</v>
          </cell>
        </row>
        <row r="12">
          <cell r="F12">
            <v>37600</v>
          </cell>
        </row>
        <row r="13">
          <cell r="F13">
            <v>265079.997</v>
          </cell>
        </row>
        <row r="14">
          <cell r="F14">
            <v>95008</v>
          </cell>
        </row>
        <row r="15">
          <cell r="F15">
            <v>429278.08178</v>
          </cell>
        </row>
        <row r="16">
          <cell r="F16">
            <v>97731.5846</v>
          </cell>
        </row>
        <row r="18">
          <cell r="F18">
            <v>44238.2</v>
          </cell>
        </row>
        <row r="19">
          <cell r="F19">
            <v>129549.73999999999</v>
          </cell>
        </row>
      </sheetData>
      <sheetData sheetId="3">
        <row r="23">
          <cell r="F23">
            <v>212125.45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Low/Content.IE5/AppData/Local/Microsoft/Windows/Temporary%20Internet%20Files/Low/My%20Documents/Documents%20and%20Settings/alejandra.guerrero/Local%20Settings/Temporary%20Internet%20Files/My%20Documents/Mantenimiento%20y%20Planta%20FIsica/Jorge/Trabajos%202010/Temporary%20Internet%20Files/Content.Outlook/ZKACWRYB/Foto%20Muebles/Estacion%20maestros.JP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="80" zoomScaleNormal="80" workbookViewId="0" topLeftCell="A1">
      <selection activeCell="C18" sqref="C18"/>
    </sheetView>
  </sheetViews>
  <sheetFormatPr defaultColWidth="9.140625" defaultRowHeight="15"/>
  <cols>
    <col min="1" max="1" width="3.7109375" style="0" customWidth="1"/>
    <col min="2" max="2" width="50.140625" style="0" bestFit="1" customWidth="1"/>
    <col min="3" max="5" width="16.421875" style="0" customWidth="1"/>
    <col min="6" max="6" width="15.00390625" style="26" hidden="1" customWidth="1"/>
    <col min="7" max="7" width="2.421875" style="330" customWidth="1"/>
    <col min="8" max="8" width="17.8515625" style="330" customWidth="1"/>
    <col min="9" max="10" width="18.28125" style="330" customWidth="1"/>
    <col min="11" max="11" width="17.421875" style="330" customWidth="1"/>
    <col min="12" max="12" width="16.140625" style="330" customWidth="1"/>
    <col min="13" max="13" width="1.421875" style="330" customWidth="1"/>
    <col min="14" max="14" width="17.00390625" style="330" customWidth="1"/>
    <col min="15" max="15" width="15.00390625" style="330" customWidth="1"/>
    <col min="16" max="16" width="43.140625" style="330" customWidth="1"/>
    <col min="17" max="17" width="15.8515625" style="0" customWidth="1"/>
    <col min="18" max="18" width="15.00390625" style="0" customWidth="1"/>
    <col min="19" max="21" width="14.421875" style="0" customWidth="1"/>
    <col min="22" max="22" width="14.00390625" style="0" customWidth="1"/>
    <col min="23" max="30" width="14.7109375" style="0" customWidth="1"/>
    <col min="31" max="31" width="16.421875" style="0" customWidth="1"/>
    <col min="32" max="32" width="50.8515625" style="0" bestFit="1" customWidth="1"/>
    <col min="33" max="43" width="14.7109375" style="0" customWidth="1"/>
    <col min="44" max="44" width="16.421875" style="0" customWidth="1"/>
    <col min="45" max="45" width="17.7109375" style="0" customWidth="1"/>
  </cols>
  <sheetData>
    <row r="1" spans="1:256" ht="15">
      <c r="A1" s="162"/>
      <c r="B1" s="163"/>
      <c r="C1" s="163"/>
      <c r="D1" s="163"/>
      <c r="E1" s="162"/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2"/>
      <c r="R1" s="162"/>
      <c r="S1" s="162"/>
      <c r="T1" s="162"/>
      <c r="U1" s="165"/>
      <c r="V1" s="165"/>
      <c r="W1" s="162"/>
      <c r="X1" s="163"/>
      <c r="Y1" s="163"/>
      <c r="Z1" s="163"/>
      <c r="AA1" s="163"/>
      <c r="AB1" s="163"/>
      <c r="AC1" s="163"/>
      <c r="AD1" s="163"/>
      <c r="AE1" s="162"/>
      <c r="AF1" s="162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2"/>
      <c r="AS1" s="162"/>
      <c r="AT1" s="165"/>
      <c r="AU1" s="166"/>
      <c r="AV1" s="162"/>
      <c r="AW1" s="162"/>
      <c r="AX1" s="165"/>
      <c r="AY1" s="162"/>
      <c r="AZ1" s="163"/>
      <c r="BA1" s="162"/>
      <c r="BB1" s="162"/>
      <c r="BC1" s="162"/>
      <c r="BD1" s="165"/>
      <c r="BE1" s="166"/>
      <c r="BF1" s="162"/>
      <c r="BG1" s="162"/>
      <c r="BH1" s="165"/>
      <c r="BI1" s="162"/>
      <c r="BJ1" s="163"/>
      <c r="BK1" s="162"/>
      <c r="BL1" s="162"/>
      <c r="BM1" s="162"/>
      <c r="BN1" s="165"/>
      <c r="BO1" s="166"/>
      <c r="BP1" s="162"/>
      <c r="BQ1" s="162"/>
      <c r="BR1" s="165"/>
      <c r="BS1" s="162"/>
      <c r="BT1" s="163"/>
      <c r="BU1" s="162"/>
      <c r="BV1" s="162"/>
      <c r="BW1" s="162"/>
      <c r="BX1" s="165"/>
      <c r="BY1" s="166"/>
      <c r="BZ1" s="162"/>
      <c r="CA1" s="162"/>
      <c r="CB1" s="165"/>
      <c r="CC1" s="162"/>
      <c r="CD1" s="163"/>
      <c r="CE1" s="162"/>
      <c r="CF1" s="162"/>
      <c r="CG1" s="162"/>
      <c r="CH1" s="165"/>
      <c r="CI1" s="166"/>
      <c r="CJ1" s="162"/>
      <c r="CK1" s="162"/>
      <c r="CL1" s="165"/>
      <c r="CM1" s="162"/>
      <c r="CN1" s="163"/>
      <c r="CO1" s="162"/>
      <c r="CP1" s="162"/>
      <c r="CQ1" s="162"/>
      <c r="CR1" s="165"/>
      <c r="CS1" s="166"/>
      <c r="CT1" s="162"/>
      <c r="CU1" s="162"/>
      <c r="CV1" s="165"/>
      <c r="CW1" s="162"/>
      <c r="CX1" s="163"/>
      <c r="CY1" s="162"/>
      <c r="CZ1" s="162"/>
      <c r="DA1" s="162"/>
      <c r="DB1" s="165"/>
      <c r="DC1" s="166"/>
      <c r="DD1" s="162"/>
      <c r="DE1" s="162"/>
      <c r="DF1" s="165"/>
      <c r="DG1" s="162"/>
      <c r="DH1" s="163"/>
      <c r="DI1" s="162"/>
      <c r="DJ1" s="162"/>
      <c r="DK1" s="162"/>
      <c r="DL1" s="165"/>
      <c r="DM1" s="166"/>
      <c r="DN1" s="162"/>
      <c r="DO1" s="162"/>
      <c r="DP1" s="165"/>
      <c r="DQ1" s="162"/>
      <c r="DR1" s="163"/>
      <c r="DS1" s="162"/>
      <c r="DT1" s="162"/>
      <c r="DU1" s="162"/>
      <c r="DV1" s="165"/>
      <c r="DW1" s="166"/>
      <c r="DX1" s="162"/>
      <c r="DY1" s="162"/>
      <c r="DZ1" s="165"/>
      <c r="EA1" s="162"/>
      <c r="EB1" s="163"/>
      <c r="EC1" s="162"/>
      <c r="ED1" s="162"/>
      <c r="EE1" s="162"/>
      <c r="EF1" s="165"/>
      <c r="EG1" s="166"/>
      <c r="EH1" s="162"/>
      <c r="EI1" s="162"/>
      <c r="EJ1" s="165"/>
      <c r="EK1" s="162"/>
      <c r="EL1" s="163"/>
      <c r="EM1" s="162"/>
      <c r="EN1" s="162"/>
      <c r="EO1" s="162"/>
      <c r="EP1" s="165"/>
      <c r="EQ1" s="166"/>
      <c r="ER1" s="162"/>
      <c r="ES1" s="162"/>
      <c r="ET1" s="165"/>
      <c r="EU1" s="162"/>
      <c r="EV1" s="163"/>
      <c r="EW1" s="162"/>
      <c r="EX1" s="162"/>
      <c r="EY1" s="162"/>
      <c r="EZ1" s="165"/>
      <c r="FA1" s="166"/>
      <c r="FB1" s="162"/>
      <c r="FC1" s="162"/>
      <c r="FD1" s="165"/>
      <c r="FE1" s="162"/>
      <c r="FF1" s="163"/>
      <c r="FG1" s="162"/>
      <c r="FH1" s="162"/>
      <c r="FI1" s="162"/>
      <c r="FJ1" s="165"/>
      <c r="FK1" s="166"/>
      <c r="FL1" s="162"/>
      <c r="FM1" s="162"/>
      <c r="FN1" s="165"/>
      <c r="FO1" s="162"/>
      <c r="FP1" s="163"/>
      <c r="FQ1" s="162"/>
      <c r="FR1" s="162"/>
      <c r="FS1" s="162"/>
      <c r="FT1" s="165"/>
      <c r="FU1" s="166"/>
      <c r="FV1" s="162"/>
      <c r="FW1" s="162"/>
      <c r="FX1" s="165"/>
      <c r="FY1" s="162"/>
      <c r="FZ1" s="163"/>
      <c r="GA1" s="162"/>
      <c r="GB1" s="162"/>
      <c r="GC1" s="162"/>
      <c r="GD1" s="165"/>
      <c r="GE1" s="166"/>
      <c r="GF1" s="162"/>
      <c r="GG1" s="162"/>
      <c r="GH1" s="165"/>
      <c r="GI1" s="162"/>
      <c r="GJ1" s="163"/>
      <c r="GK1" s="162"/>
      <c r="GL1" s="162"/>
      <c r="GM1" s="162"/>
      <c r="GN1" s="165"/>
      <c r="GO1" s="166"/>
      <c r="GP1" s="162"/>
      <c r="GQ1" s="162"/>
      <c r="GR1" s="165"/>
      <c r="GS1" s="162"/>
      <c r="GT1" s="163"/>
      <c r="GU1" s="162"/>
      <c r="GV1" s="162"/>
      <c r="GW1" s="162"/>
      <c r="GX1" s="165"/>
      <c r="GY1" s="166"/>
      <c r="GZ1" s="162"/>
      <c r="HA1" s="162"/>
      <c r="HB1" s="165"/>
      <c r="HC1" s="162"/>
      <c r="HD1" s="163"/>
      <c r="HE1" s="162"/>
      <c r="HF1" s="162"/>
      <c r="HG1" s="162"/>
      <c r="HH1" s="165"/>
      <c r="HI1" s="166"/>
      <c r="HJ1" s="162"/>
      <c r="HK1" s="162"/>
      <c r="HL1" s="165"/>
      <c r="HM1" s="162"/>
      <c r="HN1" s="163"/>
      <c r="HO1" s="162"/>
      <c r="HP1" s="162"/>
      <c r="HQ1" s="162"/>
      <c r="HR1" s="165"/>
      <c r="HS1" s="166"/>
      <c r="HT1" s="162"/>
      <c r="HU1" s="162"/>
      <c r="HV1" s="165"/>
      <c r="HW1" s="162"/>
      <c r="HX1" s="163"/>
      <c r="HY1" s="162"/>
      <c r="HZ1" s="162"/>
      <c r="IA1" s="162"/>
      <c r="IB1" s="165"/>
      <c r="IC1" s="166"/>
      <c r="ID1" s="162"/>
      <c r="IE1" s="162"/>
      <c r="IF1" s="165"/>
      <c r="IG1" s="162"/>
      <c r="IH1" s="163"/>
      <c r="II1" s="162"/>
      <c r="IJ1" s="162"/>
      <c r="IK1" s="162"/>
      <c r="IL1" s="165"/>
      <c r="IM1" s="166"/>
      <c r="IN1" s="162"/>
      <c r="IO1" s="162"/>
      <c r="IP1" s="165"/>
      <c r="IQ1" s="162"/>
      <c r="IR1" s="163"/>
      <c r="IS1" s="162"/>
      <c r="IT1" s="162"/>
      <c r="IU1" s="162"/>
      <c r="IV1" s="165"/>
    </row>
    <row r="2" spans="2:40" ht="20.25">
      <c r="B2" s="437" t="s">
        <v>148</v>
      </c>
      <c r="C2" s="437"/>
      <c r="D2" s="437"/>
      <c r="E2" s="43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V2" s="168" t="s">
        <v>148</v>
      </c>
      <c r="W2" s="168"/>
      <c r="X2" s="168"/>
      <c r="Y2" s="168"/>
      <c r="AN2" s="168" t="s">
        <v>148</v>
      </c>
    </row>
    <row r="3" spans="2:40" ht="20.25">
      <c r="B3" s="169" t="s">
        <v>149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 t="s">
        <v>150</v>
      </c>
      <c r="T3" s="169"/>
      <c r="U3" s="169"/>
      <c r="V3" s="169"/>
      <c r="AK3" s="169" t="s">
        <v>150</v>
      </c>
      <c r="AL3" s="169"/>
      <c r="AM3" s="169"/>
      <c r="AN3" s="169"/>
    </row>
    <row r="4" spans="2:40" ht="15.75">
      <c r="B4" s="438" t="s">
        <v>151</v>
      </c>
      <c r="C4" s="438"/>
      <c r="D4" s="438"/>
      <c r="E4" s="438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U4" s="171" t="s">
        <v>152</v>
      </c>
      <c r="V4" s="171"/>
      <c r="W4" s="171"/>
      <c r="X4" s="171"/>
      <c r="AM4" s="171" t="s">
        <v>152</v>
      </c>
      <c r="AN4" s="171"/>
    </row>
    <row r="5" spans="2:40" ht="15">
      <c r="B5" s="439" t="s">
        <v>153</v>
      </c>
      <c r="C5" s="439"/>
      <c r="D5" s="439"/>
      <c r="E5" s="43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U5" s="173" t="s">
        <v>154</v>
      </c>
      <c r="V5" s="173"/>
      <c r="W5" s="173"/>
      <c r="X5" s="173"/>
      <c r="AM5" s="173" t="s">
        <v>154</v>
      </c>
      <c r="AN5" s="173"/>
    </row>
    <row r="6" spans="2:40" ht="15">
      <c r="B6" s="431" t="s">
        <v>155</v>
      </c>
      <c r="C6" s="431"/>
      <c r="D6" s="431"/>
      <c r="E6" s="431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431" t="s">
        <v>156</v>
      </c>
      <c r="T6" s="431"/>
      <c r="U6" s="431"/>
      <c r="V6" s="431"/>
      <c r="AK6" s="431" t="s">
        <v>156</v>
      </c>
      <c r="AL6" s="431"/>
      <c r="AM6" s="431"/>
      <c r="AN6" s="431"/>
    </row>
    <row r="7" spans="1:30" ht="15" customHeight="1">
      <c r="A7" s="162"/>
      <c r="B7" s="163"/>
      <c r="C7" s="175"/>
      <c r="D7" s="162"/>
      <c r="E7" s="162"/>
      <c r="F7" s="163"/>
      <c r="G7" s="164"/>
      <c r="H7" s="176"/>
      <c r="I7" s="164"/>
      <c r="J7" s="164"/>
      <c r="K7" s="176"/>
      <c r="L7" s="164"/>
      <c r="M7" s="164"/>
      <c r="N7" s="164"/>
      <c r="O7" s="164"/>
      <c r="P7" s="164"/>
      <c r="Q7" s="432" t="s">
        <v>157</v>
      </c>
      <c r="R7" s="433"/>
      <c r="S7" s="433"/>
      <c r="T7" s="433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8" spans="1:30" ht="15" customHeight="1">
      <c r="A8" s="162"/>
      <c r="B8" s="163"/>
      <c r="C8" s="175"/>
      <c r="D8" s="163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432"/>
      <c r="R8" s="433"/>
      <c r="S8" s="433"/>
      <c r="T8" s="433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1:22" ht="15.75" customHeight="1" thickBot="1">
      <c r="A9" s="162"/>
      <c r="B9" s="163"/>
      <c r="C9" s="163"/>
      <c r="D9" s="163"/>
      <c r="E9" s="162"/>
      <c r="F9" s="178" t="s">
        <v>158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434"/>
      <c r="R9" s="435"/>
      <c r="S9" s="435"/>
      <c r="T9" s="435"/>
      <c r="U9" s="165"/>
      <c r="V9" s="165"/>
    </row>
    <row r="10" spans="1:45" ht="44.25" customHeight="1" thickBot="1">
      <c r="A10" s="179"/>
      <c r="B10" s="180" t="s">
        <v>159</v>
      </c>
      <c r="C10" s="181" t="s">
        <v>160</v>
      </c>
      <c r="D10" s="182" t="s">
        <v>161</v>
      </c>
      <c r="E10" s="181" t="s">
        <v>162</v>
      </c>
      <c r="F10" s="183">
        <v>1</v>
      </c>
      <c r="G10" s="184"/>
      <c r="H10" s="185" t="s">
        <v>163</v>
      </c>
      <c r="I10" s="185" t="s">
        <v>164</v>
      </c>
      <c r="J10" s="186" t="s">
        <v>165</v>
      </c>
      <c r="K10" s="186" t="s">
        <v>166</v>
      </c>
      <c r="L10" s="187" t="s">
        <v>167</v>
      </c>
      <c r="M10" s="188"/>
      <c r="N10" s="189" t="s">
        <v>168</v>
      </c>
      <c r="O10" s="190"/>
      <c r="P10" s="191" t="s">
        <v>159</v>
      </c>
      <c r="Q10" s="192" t="s">
        <v>169</v>
      </c>
      <c r="R10" s="193" t="s">
        <v>170</v>
      </c>
      <c r="S10" s="193" t="s">
        <v>171</v>
      </c>
      <c r="T10" s="194" t="s">
        <v>172</v>
      </c>
      <c r="U10" s="195" t="s">
        <v>173</v>
      </c>
      <c r="V10" s="196" t="s">
        <v>174</v>
      </c>
      <c r="W10" s="196" t="s">
        <v>175</v>
      </c>
      <c r="X10" s="197" t="s">
        <v>176</v>
      </c>
      <c r="Y10" s="198" t="s">
        <v>177</v>
      </c>
      <c r="Z10" s="195" t="s">
        <v>178</v>
      </c>
      <c r="AA10" s="195" t="s">
        <v>179</v>
      </c>
      <c r="AB10" s="195" t="s">
        <v>180</v>
      </c>
      <c r="AC10" s="186" t="s">
        <v>181</v>
      </c>
      <c r="AD10" s="198" t="s">
        <v>182</v>
      </c>
      <c r="AE10" s="199" t="s">
        <v>183</v>
      </c>
      <c r="AF10" s="191" t="s">
        <v>159</v>
      </c>
      <c r="AG10" s="195" t="s">
        <v>184</v>
      </c>
      <c r="AH10" s="195" t="s">
        <v>185</v>
      </c>
      <c r="AI10" s="195" t="s">
        <v>186</v>
      </c>
      <c r="AJ10" s="195" t="s">
        <v>187</v>
      </c>
      <c r="AK10" s="198" t="s">
        <v>188</v>
      </c>
      <c r="AL10" s="195" t="s">
        <v>189</v>
      </c>
      <c r="AM10" s="195" t="s">
        <v>190</v>
      </c>
      <c r="AN10" s="195" t="s">
        <v>191</v>
      </c>
      <c r="AO10" s="195" t="s">
        <v>192</v>
      </c>
      <c r="AP10" s="198" t="s">
        <v>193</v>
      </c>
      <c r="AQ10" s="200" t="s">
        <v>194</v>
      </c>
      <c r="AR10" s="198" t="s">
        <v>195</v>
      </c>
      <c r="AS10" s="201" t="s">
        <v>196</v>
      </c>
    </row>
    <row r="11" spans="1:45" ht="15">
      <c r="A11" s="179"/>
      <c r="B11" s="202"/>
      <c r="C11" s="203"/>
      <c r="D11" s="179"/>
      <c r="E11" s="179"/>
      <c r="F11" s="204">
        <v>12.2</v>
      </c>
      <c r="G11" s="205"/>
      <c r="H11" s="205"/>
      <c r="I11" s="205"/>
      <c r="J11" s="205"/>
      <c r="K11" s="205"/>
      <c r="L11" s="205"/>
      <c r="M11" s="205"/>
      <c r="N11" s="206"/>
      <c r="O11" s="205"/>
      <c r="P11" s="207"/>
      <c r="Q11" s="208"/>
      <c r="R11" s="209"/>
      <c r="S11" s="208"/>
      <c r="T11" s="208"/>
      <c r="U11" s="208"/>
      <c r="V11" s="210"/>
      <c r="W11" s="210"/>
      <c r="X11" s="210"/>
      <c r="Y11" s="208"/>
      <c r="Z11" s="211"/>
      <c r="AA11" s="208"/>
      <c r="AB11" s="208"/>
      <c r="AC11" s="208"/>
      <c r="AD11" s="209"/>
      <c r="AE11" s="212"/>
      <c r="AF11" s="207"/>
      <c r="AG11" s="211"/>
      <c r="AH11" s="208"/>
      <c r="AI11" s="208"/>
      <c r="AJ11" s="208"/>
      <c r="AK11" s="209"/>
      <c r="AL11" s="211"/>
      <c r="AM11" s="208"/>
      <c r="AN11" s="208"/>
      <c r="AO11" s="208"/>
      <c r="AP11" s="209"/>
      <c r="AQ11" s="208"/>
      <c r="AR11" s="213"/>
      <c r="AS11" s="213"/>
    </row>
    <row r="12" spans="1:45" ht="15.75">
      <c r="A12" s="179"/>
      <c r="B12" s="214" t="s">
        <v>197</v>
      </c>
      <c r="C12" s="215"/>
      <c r="D12" s="216"/>
      <c r="E12" s="216"/>
      <c r="F12" s="204">
        <v>12.5</v>
      </c>
      <c r="G12" s="205"/>
      <c r="H12" s="215"/>
      <c r="I12" s="215"/>
      <c r="J12" s="216"/>
      <c r="K12" s="216"/>
      <c r="L12" s="215"/>
      <c r="M12" s="215"/>
      <c r="N12" s="217"/>
      <c r="O12" s="205"/>
      <c r="P12" s="218" t="s">
        <v>197</v>
      </c>
      <c r="Q12" s="219"/>
      <c r="R12" s="217"/>
      <c r="S12" s="219"/>
      <c r="T12" s="219"/>
      <c r="U12" s="219"/>
      <c r="V12" s="217"/>
      <c r="W12" s="217"/>
      <c r="X12" s="217"/>
      <c r="Y12" s="219"/>
      <c r="Z12" s="220"/>
      <c r="AA12" s="219"/>
      <c r="AB12" s="219"/>
      <c r="AC12" s="219"/>
      <c r="AD12" s="217"/>
      <c r="AE12" s="220"/>
      <c r="AF12" s="218" t="s">
        <v>197</v>
      </c>
      <c r="AG12" s="220"/>
      <c r="AH12" s="219"/>
      <c r="AI12" s="219"/>
      <c r="AJ12" s="219"/>
      <c r="AK12" s="217"/>
      <c r="AL12" s="220"/>
      <c r="AM12" s="219"/>
      <c r="AN12" s="219"/>
      <c r="AO12" s="219"/>
      <c r="AP12" s="217"/>
      <c r="AQ12" s="219"/>
      <c r="AR12" s="221"/>
      <c r="AS12" s="221"/>
    </row>
    <row r="13" spans="1:45" ht="10.5" customHeight="1">
      <c r="A13" s="179"/>
      <c r="B13" s="222"/>
      <c r="C13" s="223"/>
      <c r="D13" s="224"/>
      <c r="E13" s="224"/>
      <c r="F13" s="225"/>
      <c r="G13" s="226"/>
      <c r="H13" s="223"/>
      <c r="I13" s="223"/>
      <c r="J13" s="224"/>
      <c r="K13" s="224"/>
      <c r="L13" s="223"/>
      <c r="M13" s="223"/>
      <c r="N13" s="227"/>
      <c r="O13" s="226"/>
      <c r="P13" s="228"/>
      <c r="Q13" s="229"/>
      <c r="R13" s="227"/>
      <c r="S13" s="230"/>
      <c r="T13" s="229"/>
      <c r="U13" s="230"/>
      <c r="V13" s="227"/>
      <c r="W13" s="227"/>
      <c r="X13" s="227"/>
      <c r="Y13" s="229"/>
      <c r="Z13" s="231"/>
      <c r="AA13" s="230"/>
      <c r="AB13" s="230"/>
      <c r="AC13" s="230"/>
      <c r="AD13" s="232"/>
      <c r="AE13" s="233"/>
      <c r="AF13" s="228"/>
      <c r="AG13" s="231"/>
      <c r="AH13" s="230"/>
      <c r="AI13" s="230"/>
      <c r="AJ13" s="230"/>
      <c r="AK13" s="232"/>
      <c r="AL13" s="231"/>
      <c r="AM13" s="230"/>
      <c r="AN13" s="230"/>
      <c r="AO13" s="230"/>
      <c r="AP13" s="232"/>
      <c r="AQ13" s="230"/>
      <c r="AR13" s="234"/>
      <c r="AS13" s="235"/>
    </row>
    <row r="14" spans="1:45" ht="15">
      <c r="A14" s="179">
        <v>1</v>
      </c>
      <c r="B14" s="222" t="s">
        <v>198</v>
      </c>
      <c r="C14" s="223"/>
      <c r="D14" s="225">
        <f>Q14+T14</f>
        <v>492000</v>
      </c>
      <c r="E14" s="225">
        <f>300000*$F$11</f>
        <v>3660000</v>
      </c>
      <c r="F14" s="225"/>
      <c r="G14" s="226"/>
      <c r="H14" s="225">
        <f>Y14</f>
        <v>732000</v>
      </c>
      <c r="I14" s="225">
        <f>AD14</f>
        <v>610000</v>
      </c>
      <c r="J14" s="225">
        <f>AK14</f>
        <v>915000</v>
      </c>
      <c r="K14" s="225">
        <f>AP14</f>
        <v>911000</v>
      </c>
      <c r="L14" s="225"/>
      <c r="M14" s="225"/>
      <c r="N14" s="236">
        <f>SUM(H14:K14)+D14</f>
        <v>3660000</v>
      </c>
      <c r="O14" s="226"/>
      <c r="P14" s="228" t="s">
        <v>198</v>
      </c>
      <c r="Q14" s="237"/>
      <c r="R14" s="238">
        <f>492000/$F$10</f>
        <v>492000</v>
      </c>
      <c r="S14" s="238"/>
      <c r="T14" s="237">
        <f>R14+S14</f>
        <v>492000</v>
      </c>
      <c r="U14" s="238"/>
      <c r="V14" s="238"/>
      <c r="W14" s="238">
        <f>60000*$F$11</f>
        <v>732000</v>
      </c>
      <c r="X14" s="238"/>
      <c r="Y14" s="237">
        <f>U14+V14+W14+X14</f>
        <v>732000</v>
      </c>
      <c r="Z14" s="239"/>
      <c r="AA14" s="238"/>
      <c r="AB14" s="238"/>
      <c r="AC14" s="238">
        <f>50000*$F$11</f>
        <v>610000</v>
      </c>
      <c r="AD14" s="236">
        <f>Z14+AA14+AB14+AC14</f>
        <v>610000</v>
      </c>
      <c r="AE14" s="240">
        <f>AD14+Y14+T14+Q14</f>
        <v>1834000</v>
      </c>
      <c r="AF14" s="228" t="s">
        <v>198</v>
      </c>
      <c r="AG14" s="239"/>
      <c r="AH14" s="238"/>
      <c r="AI14" s="238">
        <f>75000*$F$11</f>
        <v>915000</v>
      </c>
      <c r="AJ14" s="238"/>
      <c r="AK14" s="236">
        <f>AG14+AH14+AI14+AJ14</f>
        <v>915000</v>
      </c>
      <c r="AL14" s="239"/>
      <c r="AM14" s="238"/>
      <c r="AN14" s="238">
        <f>75000*$F$11-4000</f>
        <v>911000</v>
      </c>
      <c r="AO14" s="238"/>
      <c r="AP14" s="236">
        <f>AL14+AM14+AN14+AO14</f>
        <v>911000</v>
      </c>
      <c r="AQ14" s="238"/>
      <c r="AR14" s="241">
        <f>AP14+AK14</f>
        <v>1826000</v>
      </c>
      <c r="AS14" s="242">
        <f aca="true" t="shared" si="0" ref="AS14:AS19">AR14+AE14</f>
        <v>3660000</v>
      </c>
    </row>
    <row r="15" spans="1:45" ht="15">
      <c r="A15" s="179">
        <v>2</v>
      </c>
      <c r="B15" s="222" t="s">
        <v>199</v>
      </c>
      <c r="C15" s="223"/>
      <c r="D15" s="225">
        <f>R15</f>
        <v>60000</v>
      </c>
      <c r="E15" s="225">
        <f>10000*$F$11</f>
        <v>122000</v>
      </c>
      <c r="F15" s="225"/>
      <c r="G15" s="226"/>
      <c r="H15" s="225">
        <f>Y15</f>
        <v>0</v>
      </c>
      <c r="I15" s="225">
        <f>AD15</f>
        <v>0</v>
      </c>
      <c r="J15" s="225">
        <f>AK15</f>
        <v>62000</v>
      </c>
      <c r="K15" s="225">
        <f>AP15</f>
        <v>0</v>
      </c>
      <c r="L15" s="225"/>
      <c r="M15" s="225"/>
      <c r="N15" s="236">
        <f>SUM(H15:K15)+D15</f>
        <v>122000</v>
      </c>
      <c r="O15" s="226"/>
      <c r="P15" s="228" t="s">
        <v>199</v>
      </c>
      <c r="Q15" s="237"/>
      <c r="R15" s="238">
        <f>60000/$F$10</f>
        <v>60000</v>
      </c>
      <c r="S15" s="238">
        <v>0</v>
      </c>
      <c r="T15" s="237">
        <f>R15+S15</f>
        <v>60000</v>
      </c>
      <c r="U15" s="238">
        <f>60000/$F$10-60000</f>
        <v>0</v>
      </c>
      <c r="V15" s="243"/>
      <c r="W15" s="243"/>
      <c r="X15" s="243"/>
      <c r="Y15" s="237">
        <f>U15+V15+W15+X15</f>
        <v>0</v>
      </c>
      <c r="Z15" s="239"/>
      <c r="AA15" s="238"/>
      <c r="AB15" s="238"/>
      <c r="AC15" s="238"/>
      <c r="AD15" s="236">
        <f>Z15+AA15+AB15+AC15</f>
        <v>0</v>
      </c>
      <c r="AE15" s="240">
        <f>AD15+Y15+T15+Q15</f>
        <v>60000</v>
      </c>
      <c r="AF15" s="228" t="s">
        <v>199</v>
      </c>
      <c r="AG15" s="239"/>
      <c r="AH15" s="238">
        <v>62000</v>
      </c>
      <c r="AI15" s="238"/>
      <c r="AJ15" s="238"/>
      <c r="AK15" s="236">
        <f>AG15+AH15+AI15+AJ15</f>
        <v>62000</v>
      </c>
      <c r="AL15" s="239"/>
      <c r="AM15" s="238"/>
      <c r="AN15" s="238"/>
      <c r="AO15" s="238"/>
      <c r="AP15" s="237">
        <f>AL15+AM15+AN15+AO15</f>
        <v>0</v>
      </c>
      <c r="AQ15" s="238"/>
      <c r="AR15" s="241">
        <f>AP15+AK15</f>
        <v>62000</v>
      </c>
      <c r="AS15" s="242">
        <f t="shared" si="0"/>
        <v>122000</v>
      </c>
    </row>
    <row r="16" spans="1:45" ht="15">
      <c r="A16" s="179">
        <v>3</v>
      </c>
      <c r="B16" s="222" t="s">
        <v>200</v>
      </c>
      <c r="C16" s="223"/>
      <c r="D16" s="225">
        <f>Q16+T16</f>
        <v>107304.99</v>
      </c>
      <c r="E16" s="225">
        <f>100000*$F$11</f>
        <v>1220000</v>
      </c>
      <c r="F16" s="225"/>
      <c r="G16" s="226"/>
      <c r="H16" s="225">
        <f>Y16</f>
        <v>400000</v>
      </c>
      <c r="I16" s="225">
        <f>AD16</f>
        <v>380000</v>
      </c>
      <c r="J16" s="225">
        <f>AK16</f>
        <v>332695</v>
      </c>
      <c r="K16" s="225">
        <f>AP16</f>
        <v>0</v>
      </c>
      <c r="L16" s="225"/>
      <c r="M16" s="225"/>
      <c r="N16" s="236">
        <f>SUM(H16:K16)+D16</f>
        <v>1219999.99</v>
      </c>
      <c r="O16" s="226"/>
      <c r="P16" s="228" t="s">
        <v>200</v>
      </c>
      <c r="Q16" s="229">
        <f>68820/$F$10</f>
        <v>68820</v>
      </c>
      <c r="R16" s="243">
        <f>107304.99-68820</f>
        <v>38484.990000000005</v>
      </c>
      <c r="S16" s="238"/>
      <c r="T16" s="237">
        <f>R16+S16</f>
        <v>38484.990000000005</v>
      </c>
      <c r="U16" s="238"/>
      <c r="V16" s="243"/>
      <c r="W16" s="243"/>
      <c r="X16" s="238">
        <v>400000</v>
      </c>
      <c r="Y16" s="237">
        <f>U16+V16+W16+X16</f>
        <v>400000</v>
      </c>
      <c r="Z16" s="239">
        <v>100000</v>
      </c>
      <c r="AA16" s="238">
        <v>150000</v>
      </c>
      <c r="AB16" s="238">
        <v>100000</v>
      </c>
      <c r="AC16" s="238">
        <v>30000</v>
      </c>
      <c r="AD16" s="236">
        <f>Z16+AA16+AB16+AC16</f>
        <v>380000</v>
      </c>
      <c r="AE16" s="240">
        <f>AD16+Y16+T16+Q16</f>
        <v>887304.99</v>
      </c>
      <c r="AF16" s="228" t="s">
        <v>200</v>
      </c>
      <c r="AG16" s="239"/>
      <c r="AH16" s="238">
        <v>220000</v>
      </c>
      <c r="AI16" s="238"/>
      <c r="AJ16" s="238">
        <f>1220000-1107305</f>
        <v>112695</v>
      </c>
      <c r="AK16" s="236">
        <f>AG16+AH16+AI16+AJ16</f>
        <v>332695</v>
      </c>
      <c r="AL16" s="239"/>
      <c r="AM16" s="238"/>
      <c r="AN16" s="238"/>
      <c r="AO16" s="238"/>
      <c r="AP16" s="237">
        <f>AL16+AM16+AN16+AO16</f>
        <v>0</v>
      </c>
      <c r="AQ16" s="238"/>
      <c r="AR16" s="241">
        <f>AP16+AK16</f>
        <v>332695</v>
      </c>
      <c r="AS16" s="242">
        <f t="shared" si="0"/>
        <v>1219999.99</v>
      </c>
    </row>
    <row r="17" spans="1:45" ht="15">
      <c r="A17" s="179">
        <v>3</v>
      </c>
      <c r="B17" s="222" t="s">
        <v>201</v>
      </c>
      <c r="C17" s="223"/>
      <c r="D17" s="225">
        <f>Q17+T17</f>
        <v>275000</v>
      </c>
      <c r="E17" s="225">
        <v>275000</v>
      </c>
      <c r="F17" s="225"/>
      <c r="G17" s="226"/>
      <c r="H17" s="225"/>
      <c r="I17" s="225">
        <f>AD17</f>
        <v>0</v>
      </c>
      <c r="J17" s="225"/>
      <c r="K17" s="225"/>
      <c r="L17" s="225"/>
      <c r="M17" s="225"/>
      <c r="N17" s="236">
        <f>SUM(H17:K17)+D17</f>
        <v>275000</v>
      </c>
      <c r="O17" s="226"/>
      <c r="P17" s="228" t="s">
        <v>201</v>
      </c>
      <c r="Q17" s="229">
        <v>275000</v>
      </c>
      <c r="R17" s="243"/>
      <c r="S17" s="238"/>
      <c r="T17" s="237"/>
      <c r="U17" s="238"/>
      <c r="V17" s="243"/>
      <c r="W17" s="243"/>
      <c r="X17" s="243"/>
      <c r="Y17" s="237"/>
      <c r="Z17" s="239"/>
      <c r="AA17" s="238"/>
      <c r="AB17" s="238"/>
      <c r="AC17" s="238"/>
      <c r="AD17" s="236"/>
      <c r="AE17" s="240">
        <f>AD17+Y17+T17+Q17</f>
        <v>275000</v>
      </c>
      <c r="AF17" s="228" t="s">
        <v>201</v>
      </c>
      <c r="AG17" s="239"/>
      <c r="AH17" s="238"/>
      <c r="AI17" s="238"/>
      <c r="AJ17" s="238"/>
      <c r="AK17" s="236"/>
      <c r="AL17" s="239"/>
      <c r="AM17" s="238"/>
      <c r="AN17" s="238"/>
      <c r="AO17" s="238"/>
      <c r="AP17" s="237"/>
      <c r="AQ17" s="238"/>
      <c r="AR17" s="241">
        <f>AP17+AK17</f>
        <v>0</v>
      </c>
      <c r="AS17" s="242">
        <f t="shared" si="0"/>
        <v>275000</v>
      </c>
    </row>
    <row r="18" spans="1:45" ht="15.75" thickBot="1">
      <c r="A18" s="179">
        <v>4</v>
      </c>
      <c r="B18" s="222" t="s">
        <v>202</v>
      </c>
      <c r="C18" s="223"/>
      <c r="D18" s="244">
        <f>AE18</f>
        <v>0</v>
      </c>
      <c r="E18" s="245">
        <f>280000-280000</f>
        <v>0</v>
      </c>
      <c r="F18" s="246"/>
      <c r="G18" s="247"/>
      <c r="H18" s="244">
        <f>Y18</f>
        <v>0</v>
      </c>
      <c r="I18" s="244">
        <f>AD18</f>
        <v>0</v>
      </c>
      <c r="J18" s="244">
        <f>AK18</f>
        <v>0</v>
      </c>
      <c r="K18" s="245">
        <f>AP18</f>
        <v>0</v>
      </c>
      <c r="L18" s="244"/>
      <c r="M18" s="225"/>
      <c r="N18" s="248">
        <f>SUM(H18:K18)+D18</f>
        <v>0</v>
      </c>
      <c r="O18" s="247"/>
      <c r="P18" s="228" t="s">
        <v>203</v>
      </c>
      <c r="Q18" s="249">
        <f>280000-280000</f>
        <v>0</v>
      </c>
      <c r="R18" s="250"/>
      <c r="S18" s="251"/>
      <c r="T18" s="252">
        <f>R18+S18</f>
        <v>0</v>
      </c>
      <c r="U18" s="251"/>
      <c r="V18" s="250"/>
      <c r="W18" s="250"/>
      <c r="X18" s="250"/>
      <c r="Y18" s="252">
        <f>U18+V18+W18+X18</f>
        <v>0</v>
      </c>
      <c r="Z18" s="253"/>
      <c r="AA18" s="251"/>
      <c r="AB18" s="251"/>
      <c r="AC18" s="251"/>
      <c r="AD18" s="252">
        <f>Z18+AA18+AB18+AC18</f>
        <v>0</v>
      </c>
      <c r="AE18" s="254">
        <f>AD18+Y18+T18+Q18</f>
        <v>0</v>
      </c>
      <c r="AF18" s="228" t="s">
        <v>203</v>
      </c>
      <c r="AG18" s="253"/>
      <c r="AH18" s="251"/>
      <c r="AI18" s="251"/>
      <c r="AJ18" s="251"/>
      <c r="AK18" s="252">
        <f>AG18+AH18+AI18+AJ18</f>
        <v>0</v>
      </c>
      <c r="AL18" s="253"/>
      <c r="AM18" s="251"/>
      <c r="AN18" s="251"/>
      <c r="AO18" s="251"/>
      <c r="AP18" s="252">
        <f>AL18+AM18+AN18+AO18</f>
        <v>0</v>
      </c>
      <c r="AQ18" s="251"/>
      <c r="AR18" s="254">
        <f>AP18+AK18</f>
        <v>0</v>
      </c>
      <c r="AS18" s="255">
        <f t="shared" si="0"/>
        <v>0</v>
      </c>
    </row>
    <row r="19" spans="1:45" ht="15">
      <c r="A19" s="179"/>
      <c r="B19" s="256" t="s">
        <v>204</v>
      </c>
      <c r="C19" s="257"/>
      <c r="D19" s="258">
        <f>SUM(D13:D18)</f>
        <v>934304.99</v>
      </c>
      <c r="E19" s="258">
        <f>SUM(E13:E18)</f>
        <v>5277000</v>
      </c>
      <c r="F19" s="246"/>
      <c r="G19" s="247"/>
      <c r="H19" s="259">
        <f aca="true" t="shared" si="1" ref="H19:N19">SUM(H13:H18)</f>
        <v>1132000</v>
      </c>
      <c r="I19" s="259">
        <f t="shared" si="1"/>
        <v>990000</v>
      </c>
      <c r="J19" s="258">
        <f t="shared" si="1"/>
        <v>1309695</v>
      </c>
      <c r="K19" s="258">
        <f t="shared" si="1"/>
        <v>911000</v>
      </c>
      <c r="L19" s="259"/>
      <c r="M19" s="259"/>
      <c r="N19" s="232">
        <f t="shared" si="1"/>
        <v>5276999.99</v>
      </c>
      <c r="O19" s="247"/>
      <c r="P19" s="260" t="s">
        <v>204</v>
      </c>
      <c r="Q19" s="229">
        <f>SUM(Q14:Q18)</f>
        <v>343820</v>
      </c>
      <c r="R19" s="232">
        <f>SUM(R14:R18)</f>
        <v>590484.99</v>
      </c>
      <c r="S19" s="229">
        <f>SUM(S14:S18)</f>
        <v>0</v>
      </c>
      <c r="T19" s="229">
        <f>SUM(T14:T18)</f>
        <v>590484.99</v>
      </c>
      <c r="U19" s="229">
        <f aca="true" t="shared" si="2" ref="U19:AE19">SUM(U14:U18)</f>
        <v>0</v>
      </c>
      <c r="V19" s="229">
        <f>SUM(V14:V18)</f>
        <v>0</v>
      </c>
      <c r="W19" s="229">
        <f t="shared" si="2"/>
        <v>732000</v>
      </c>
      <c r="X19" s="229">
        <f t="shared" si="2"/>
        <v>400000</v>
      </c>
      <c r="Y19" s="229">
        <f t="shared" si="2"/>
        <v>1132000</v>
      </c>
      <c r="Z19" s="229">
        <f t="shared" si="2"/>
        <v>100000</v>
      </c>
      <c r="AA19" s="229">
        <f t="shared" si="2"/>
        <v>150000</v>
      </c>
      <c r="AB19" s="229">
        <f t="shared" si="2"/>
        <v>100000</v>
      </c>
      <c r="AC19" s="229">
        <f t="shared" si="2"/>
        <v>640000</v>
      </c>
      <c r="AD19" s="229">
        <f t="shared" si="2"/>
        <v>990000</v>
      </c>
      <c r="AE19" s="229">
        <f t="shared" si="2"/>
        <v>3056304.99</v>
      </c>
      <c r="AF19" s="260" t="s">
        <v>204</v>
      </c>
      <c r="AG19" s="229">
        <f aca="true" t="shared" si="3" ref="AG19:AO19">SUM(AG14:AG18)</f>
        <v>0</v>
      </c>
      <c r="AH19" s="229">
        <f t="shared" si="3"/>
        <v>282000</v>
      </c>
      <c r="AI19" s="229">
        <f t="shared" si="3"/>
        <v>915000</v>
      </c>
      <c r="AJ19" s="229">
        <f t="shared" si="3"/>
        <v>112695</v>
      </c>
      <c r="AK19" s="229">
        <f t="shared" si="3"/>
        <v>1309695</v>
      </c>
      <c r="AL19" s="229">
        <f t="shared" si="3"/>
        <v>0</v>
      </c>
      <c r="AM19" s="229">
        <f t="shared" si="3"/>
        <v>0</v>
      </c>
      <c r="AN19" s="229">
        <f t="shared" si="3"/>
        <v>911000</v>
      </c>
      <c r="AO19" s="229">
        <f t="shared" si="3"/>
        <v>0</v>
      </c>
      <c r="AP19" s="229">
        <f>SUM(AP14:AP18)</f>
        <v>911000</v>
      </c>
      <c r="AQ19" s="229"/>
      <c r="AR19" s="229">
        <f>SUM(AR14:AR18)</f>
        <v>2220695</v>
      </c>
      <c r="AS19" s="241">
        <f t="shared" si="0"/>
        <v>5276999.99</v>
      </c>
    </row>
    <row r="20" spans="1:45" ht="15.75" thickBot="1">
      <c r="A20" s="179"/>
      <c r="B20" s="222"/>
      <c r="C20" s="223"/>
      <c r="D20" s="179"/>
      <c r="E20" s="179"/>
      <c r="F20" s="165"/>
      <c r="G20" s="164"/>
      <c r="H20" s="225"/>
      <c r="I20" s="225"/>
      <c r="J20" s="224"/>
      <c r="K20" s="224"/>
      <c r="L20" s="225"/>
      <c r="M20" s="225"/>
      <c r="N20" s="227"/>
      <c r="O20" s="164"/>
      <c r="P20" s="228"/>
      <c r="Q20" s="261"/>
      <c r="R20" s="210"/>
      <c r="S20" s="261"/>
      <c r="T20" s="261"/>
      <c r="U20" s="261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8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62"/>
      <c r="AR20" s="210"/>
      <c r="AS20" s="263"/>
    </row>
    <row r="21" spans="1:45" ht="24" customHeight="1" thickBot="1">
      <c r="A21" s="179"/>
      <c r="B21" s="264" t="s">
        <v>205</v>
      </c>
      <c r="C21" s="265"/>
      <c r="D21" s="266">
        <f>D11+D19</f>
        <v>934304.99</v>
      </c>
      <c r="E21" s="266">
        <f>E11+E19</f>
        <v>5277000</v>
      </c>
      <c r="F21" s="267"/>
      <c r="G21" s="247"/>
      <c r="H21" s="266">
        <f>D21+H19</f>
        <v>2066304.99</v>
      </c>
      <c r="I21" s="266">
        <f>H21+I19</f>
        <v>3056304.99</v>
      </c>
      <c r="J21" s="266">
        <f>I21+J19</f>
        <v>4365999.99</v>
      </c>
      <c r="K21" s="266">
        <f>J21+K19</f>
        <v>5276999.99</v>
      </c>
      <c r="L21" s="266">
        <f>K21+L19</f>
        <v>5276999.99</v>
      </c>
      <c r="M21" s="266"/>
      <c r="N21" s="268">
        <f>N19</f>
        <v>5276999.99</v>
      </c>
      <c r="O21" s="247"/>
      <c r="P21" s="269" t="s">
        <v>205</v>
      </c>
      <c r="Q21" s="270">
        <f>Q11+Q19</f>
        <v>343820</v>
      </c>
      <c r="R21" s="266">
        <f>Q21+R19</f>
        <v>934304.99</v>
      </c>
      <c r="S21" s="266">
        <f>R21+S19</f>
        <v>934304.99</v>
      </c>
      <c r="T21" s="271">
        <f>T19+Q21</f>
        <v>934304.99</v>
      </c>
      <c r="U21" s="266">
        <f>T21+U19</f>
        <v>934304.99</v>
      </c>
      <c r="V21" s="266">
        <f>V19+U21</f>
        <v>934304.99</v>
      </c>
      <c r="W21" s="266">
        <f>W19+V21</f>
        <v>1666304.99</v>
      </c>
      <c r="X21" s="266">
        <f>X19+W21</f>
        <v>2066304.99</v>
      </c>
      <c r="Y21" s="271">
        <f>Y19+T21</f>
        <v>2066304.99</v>
      </c>
      <c r="Z21" s="266">
        <f>Y21+Z19</f>
        <v>2166304.99</v>
      </c>
      <c r="AA21" s="266">
        <f>Z21+AA19</f>
        <v>2316304.99</v>
      </c>
      <c r="AB21" s="266">
        <f>AA21+AB19</f>
        <v>2416304.99</v>
      </c>
      <c r="AC21" s="266">
        <f>AB21+AC19</f>
        <v>3056304.99</v>
      </c>
      <c r="AD21" s="271">
        <f>AD19+Y21</f>
        <v>3056304.99</v>
      </c>
      <c r="AE21" s="272">
        <f>AE19</f>
        <v>3056304.99</v>
      </c>
      <c r="AF21" s="269" t="s">
        <v>205</v>
      </c>
      <c r="AG21" s="266">
        <f>AE21+AG19</f>
        <v>3056304.99</v>
      </c>
      <c r="AH21" s="266">
        <f>AG21+AH19</f>
        <v>3338304.99</v>
      </c>
      <c r="AI21" s="266">
        <f>AH21+AI19</f>
        <v>4253304.99</v>
      </c>
      <c r="AJ21" s="266">
        <f>AI21+AJ19</f>
        <v>4365999.99</v>
      </c>
      <c r="AK21" s="271">
        <f>AK19+AE21</f>
        <v>4365999.99</v>
      </c>
      <c r="AL21" s="266">
        <f>AK21+AL19</f>
        <v>4365999.99</v>
      </c>
      <c r="AM21" s="266">
        <f>AL21+AM19</f>
        <v>4365999.99</v>
      </c>
      <c r="AN21" s="266">
        <f>AM21+AN19</f>
        <v>5276999.99</v>
      </c>
      <c r="AO21" s="266">
        <f>AN21+AO19</f>
        <v>5276999.99</v>
      </c>
      <c r="AP21" s="271">
        <f>AP19+AK21</f>
        <v>5276999.99</v>
      </c>
      <c r="AQ21" s="273">
        <f>AQ19+AP21</f>
        <v>5276999.99</v>
      </c>
      <c r="AR21" s="266"/>
      <c r="AS21" s="274">
        <f>AS19</f>
        <v>5276999.99</v>
      </c>
    </row>
    <row r="22" spans="1:43" ht="16.5" thickBot="1" thickTop="1">
      <c r="A22" s="179"/>
      <c r="B22" s="222"/>
      <c r="C22" s="223"/>
      <c r="D22" s="179"/>
      <c r="E22" s="179"/>
      <c r="F22" s="165"/>
      <c r="G22" s="164"/>
      <c r="H22" s="225"/>
      <c r="I22" s="225"/>
      <c r="J22" s="224"/>
      <c r="K22" s="224"/>
      <c r="L22" s="225"/>
      <c r="M22" s="225"/>
      <c r="N22" s="227"/>
      <c r="O22" s="164"/>
      <c r="P22" s="228"/>
      <c r="Q22" s="261"/>
      <c r="R22" s="210"/>
      <c r="S22" s="261"/>
      <c r="T22" s="261"/>
      <c r="U22" s="261"/>
      <c r="V22" s="210"/>
      <c r="W22" s="210"/>
      <c r="X22" s="210"/>
      <c r="Y22" s="210"/>
      <c r="Z22" s="210"/>
      <c r="AA22" s="210"/>
      <c r="AB22" s="210"/>
      <c r="AC22" s="210"/>
      <c r="AD22" s="210"/>
      <c r="AF22" s="228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</row>
    <row r="23" spans="1:45" ht="43.5" customHeight="1" thickBot="1">
      <c r="A23" s="179"/>
      <c r="B23" s="180" t="s">
        <v>159</v>
      </c>
      <c r="C23" s="275" t="s">
        <v>160</v>
      </c>
      <c r="D23" s="182" t="s">
        <v>161</v>
      </c>
      <c r="E23" s="181" t="s">
        <v>162</v>
      </c>
      <c r="F23" s="165"/>
      <c r="G23" s="164"/>
      <c r="H23" s="276"/>
      <c r="I23" s="277"/>
      <c r="J23" s="277"/>
      <c r="K23" s="277"/>
      <c r="L23" s="276"/>
      <c r="M23" s="277"/>
      <c r="N23" s="278"/>
      <c r="O23" s="164"/>
      <c r="P23" s="191" t="s">
        <v>159</v>
      </c>
      <c r="Q23" s="192" t="s">
        <v>169</v>
      </c>
      <c r="R23" s="193" t="s">
        <v>170</v>
      </c>
      <c r="S23" s="193" t="s">
        <v>171</v>
      </c>
      <c r="T23" s="194" t="s">
        <v>172</v>
      </c>
      <c r="U23" s="195" t="s">
        <v>173</v>
      </c>
      <c r="V23" s="196" t="s">
        <v>174</v>
      </c>
      <c r="W23" s="196" t="s">
        <v>175</v>
      </c>
      <c r="X23" s="197" t="s">
        <v>176</v>
      </c>
      <c r="Y23" s="198" t="s">
        <v>177</v>
      </c>
      <c r="Z23" s="279" t="s">
        <v>178</v>
      </c>
      <c r="AA23" s="280" t="s">
        <v>179</v>
      </c>
      <c r="AB23" s="281" t="s">
        <v>180</v>
      </c>
      <c r="AC23" s="282" t="s">
        <v>181</v>
      </c>
      <c r="AD23" s="198" t="s">
        <v>182</v>
      </c>
      <c r="AE23" s="199" t="s">
        <v>183</v>
      </c>
      <c r="AF23" s="191" t="s">
        <v>159</v>
      </c>
      <c r="AG23" s="195" t="s">
        <v>184</v>
      </c>
      <c r="AH23" s="195" t="s">
        <v>185</v>
      </c>
      <c r="AI23" s="195" t="s">
        <v>186</v>
      </c>
      <c r="AJ23" s="195" t="s">
        <v>187</v>
      </c>
      <c r="AK23" s="198" t="s">
        <v>188</v>
      </c>
      <c r="AL23" s="195" t="s">
        <v>189</v>
      </c>
      <c r="AM23" s="195" t="s">
        <v>190</v>
      </c>
      <c r="AN23" s="195" t="s">
        <v>191</v>
      </c>
      <c r="AO23" s="195" t="s">
        <v>192</v>
      </c>
      <c r="AP23" s="198" t="s">
        <v>193</v>
      </c>
      <c r="AQ23" s="200" t="s">
        <v>194</v>
      </c>
      <c r="AR23" s="198" t="s">
        <v>195</v>
      </c>
      <c r="AS23" s="201" t="s">
        <v>196</v>
      </c>
    </row>
    <row r="24" spans="1:45" s="26" customFormat="1" ht="11.25" customHeight="1">
      <c r="A24" s="165"/>
      <c r="B24" s="222"/>
      <c r="C24" s="223"/>
      <c r="D24" s="165"/>
      <c r="E24" s="165"/>
      <c r="F24" s="165"/>
      <c r="G24" s="164"/>
      <c r="H24" s="225"/>
      <c r="I24" s="225"/>
      <c r="J24" s="225"/>
      <c r="K24" s="225"/>
      <c r="L24" s="225"/>
      <c r="M24" s="225"/>
      <c r="N24" s="243"/>
      <c r="O24" s="164"/>
      <c r="P24" s="228"/>
      <c r="Q24" s="283"/>
      <c r="R24" s="284"/>
      <c r="S24" s="284"/>
      <c r="T24" s="284"/>
      <c r="U24" s="284"/>
      <c r="V24" s="284"/>
      <c r="W24" s="284"/>
      <c r="X24" s="284"/>
      <c r="Y24" s="285"/>
      <c r="Z24" s="284"/>
      <c r="AA24" s="284"/>
      <c r="AB24" s="284"/>
      <c r="AC24" s="283"/>
      <c r="AD24" s="283"/>
      <c r="AE24" s="283"/>
      <c r="AF24" s="228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7"/>
    </row>
    <row r="25" spans="1:45" ht="15.75">
      <c r="A25" s="179"/>
      <c r="B25" s="288" t="s">
        <v>206</v>
      </c>
      <c r="C25" s="289"/>
      <c r="D25" s="290"/>
      <c r="E25" s="290"/>
      <c r="F25" s="164">
        <v>12.5</v>
      </c>
      <c r="G25" s="164"/>
      <c r="H25" s="291"/>
      <c r="I25" s="291"/>
      <c r="J25" s="292"/>
      <c r="K25" s="292"/>
      <c r="L25" s="291"/>
      <c r="M25" s="291"/>
      <c r="N25" s="293"/>
      <c r="O25" s="164"/>
      <c r="P25" s="294" t="s">
        <v>206</v>
      </c>
      <c r="Q25" s="295"/>
      <c r="R25" s="296"/>
      <c r="S25" s="295"/>
      <c r="T25" s="295"/>
      <c r="U25" s="295"/>
      <c r="V25" s="296"/>
      <c r="W25" s="296"/>
      <c r="X25" s="296"/>
      <c r="Y25" s="296"/>
      <c r="Z25" s="296"/>
      <c r="AA25" s="296"/>
      <c r="AB25" s="290"/>
      <c r="AC25" s="295"/>
      <c r="AD25" s="295"/>
      <c r="AE25" s="221"/>
      <c r="AF25" s="294" t="s">
        <v>206</v>
      </c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35"/>
    </row>
    <row r="26" spans="1:45" ht="15">
      <c r="A26" s="179">
        <v>5</v>
      </c>
      <c r="B26" s="297" t="s">
        <v>207</v>
      </c>
      <c r="C26" s="298"/>
      <c r="D26" s="224"/>
      <c r="E26" s="224">
        <f>119000*$F$12*1.05</f>
        <v>1561875</v>
      </c>
      <c r="F26" s="225"/>
      <c r="G26" s="226"/>
      <c r="H26" s="224">
        <f>Y26</f>
        <v>624750</v>
      </c>
      <c r="I26" s="224">
        <f>AD26</f>
        <v>624750</v>
      </c>
      <c r="J26" s="224">
        <f>AK26</f>
        <v>156187.5</v>
      </c>
      <c r="K26" s="224">
        <f aca="true" t="shared" si="4" ref="K26:L30">AP26</f>
        <v>156187.5</v>
      </c>
      <c r="L26" s="224"/>
      <c r="M26" s="224"/>
      <c r="N26" s="232">
        <f>SUM(H26:K26)+D26</f>
        <v>1561875</v>
      </c>
      <c r="O26" s="226"/>
      <c r="P26" s="299" t="s">
        <v>207</v>
      </c>
      <c r="Q26" s="230"/>
      <c r="R26" s="227"/>
      <c r="S26" s="230"/>
      <c r="T26" s="237">
        <f>R26+S26</f>
        <v>0</v>
      </c>
      <c r="U26" s="230"/>
      <c r="V26" s="230">
        <f>E26/$F$10*0.4</f>
        <v>624750</v>
      </c>
      <c r="W26" s="227"/>
      <c r="X26" s="227"/>
      <c r="Y26" s="237">
        <f>U26+V26+W26+X26</f>
        <v>624750</v>
      </c>
      <c r="Z26" s="227"/>
      <c r="AA26" s="227">
        <f>E26/$F$10*0.2</f>
        <v>312375</v>
      </c>
      <c r="AB26" s="224"/>
      <c r="AC26" s="227">
        <f>E26/$F$10*0.2</f>
        <v>312375</v>
      </c>
      <c r="AD26" s="237">
        <f>Z26+AA26+AB26+AC26</f>
        <v>624750</v>
      </c>
      <c r="AE26" s="240">
        <f>AD26+Y26+T26+Q26</f>
        <v>1249500</v>
      </c>
      <c r="AF26" s="299" t="s">
        <v>207</v>
      </c>
      <c r="AG26" s="230"/>
      <c r="AH26" s="230">
        <f>E26/$F$10*0.1</f>
        <v>156187.5</v>
      </c>
      <c r="AI26" s="230"/>
      <c r="AJ26" s="230"/>
      <c r="AK26" s="237">
        <f>AG26+AH26+AI26+AJ26</f>
        <v>156187.5</v>
      </c>
      <c r="AL26" s="230">
        <f>E26/$F$10*0.1</f>
        <v>156187.5</v>
      </c>
      <c r="AM26" s="230"/>
      <c r="AN26" s="230"/>
      <c r="AO26" s="230"/>
      <c r="AP26" s="237">
        <f>AL26+AM26+AN26+AO26</f>
        <v>156187.5</v>
      </c>
      <c r="AQ26" s="237"/>
      <c r="AR26" s="241">
        <f>AP26+AK26</f>
        <v>312375</v>
      </c>
      <c r="AS26" s="242">
        <f>AR26+AE26</f>
        <v>1561875</v>
      </c>
    </row>
    <row r="27" spans="1:45" ht="15">
      <c r="A27" s="179">
        <v>6</v>
      </c>
      <c r="B27" s="297" t="s">
        <v>208</v>
      </c>
      <c r="C27" s="298"/>
      <c r="D27" s="224"/>
      <c r="E27" s="224">
        <f>66553.83*$F$12</f>
        <v>831922.875</v>
      </c>
      <c r="F27" s="225"/>
      <c r="G27" s="226"/>
      <c r="H27" s="224">
        <f>Y27</f>
        <v>499153.725</v>
      </c>
      <c r="I27" s="224">
        <f>AD27</f>
        <v>166384.575</v>
      </c>
      <c r="J27" s="224">
        <f>AK27</f>
        <v>83192.2875</v>
      </c>
      <c r="K27" s="224">
        <f t="shared" si="4"/>
        <v>83192.2875</v>
      </c>
      <c r="L27" s="224"/>
      <c r="M27" s="224"/>
      <c r="N27" s="232">
        <f>SUM(H27:K27)+D27</f>
        <v>831922.875</v>
      </c>
      <c r="O27" s="226"/>
      <c r="P27" s="299" t="s">
        <v>208</v>
      </c>
      <c r="Q27" s="230"/>
      <c r="R27" s="227"/>
      <c r="S27" s="230"/>
      <c r="T27" s="237">
        <f>R27+S27</f>
        <v>0</v>
      </c>
      <c r="U27" s="230"/>
      <c r="V27" s="227"/>
      <c r="W27" s="227">
        <f>E27/$F$10*0.6</f>
        <v>499153.725</v>
      </c>
      <c r="X27" s="227"/>
      <c r="Y27" s="237">
        <f>U27+V27+W27+X27</f>
        <v>499153.725</v>
      </c>
      <c r="Z27" s="230"/>
      <c r="AA27" s="227"/>
      <c r="AB27" s="224">
        <f>E27/$F$10*0.2</f>
        <v>166384.575</v>
      </c>
      <c r="AC27" s="230"/>
      <c r="AD27" s="237">
        <f>Z27+AA27+AB27+AC27</f>
        <v>166384.575</v>
      </c>
      <c r="AE27" s="240">
        <f>AD27+Y27+T27+Q27</f>
        <v>665538.3</v>
      </c>
      <c r="AF27" s="299" t="s">
        <v>208</v>
      </c>
      <c r="AG27" s="230"/>
      <c r="AH27" s="230"/>
      <c r="AI27" s="230">
        <f>E27/$F$10*0.1</f>
        <v>83192.2875</v>
      </c>
      <c r="AJ27" s="230"/>
      <c r="AK27" s="237">
        <f>AG27+AH27+AI27+AJ27</f>
        <v>83192.2875</v>
      </c>
      <c r="AL27" s="230"/>
      <c r="AM27" s="230">
        <f>E27/$F$10*0.1</f>
        <v>83192.2875</v>
      </c>
      <c r="AN27" s="230"/>
      <c r="AO27" s="230"/>
      <c r="AP27" s="237">
        <f>AL27+AM27+AN27+AO27</f>
        <v>83192.2875</v>
      </c>
      <c r="AQ27" s="237"/>
      <c r="AR27" s="241">
        <f>AP27+AK27</f>
        <v>166384.575</v>
      </c>
      <c r="AS27" s="242">
        <f>AR27+AE27</f>
        <v>831922.875</v>
      </c>
    </row>
    <row r="28" spans="1:45" ht="15">
      <c r="A28" s="179">
        <v>7</v>
      </c>
      <c r="B28" s="297" t="s">
        <v>209</v>
      </c>
      <c r="C28" s="298"/>
      <c r="D28" s="224">
        <f>Q28</f>
        <v>162432</v>
      </c>
      <c r="E28" s="224">
        <f>65984.82*$F$12+162432</f>
        <v>987242.2500000001</v>
      </c>
      <c r="F28" s="225"/>
      <c r="G28" s="226"/>
      <c r="H28" s="224">
        <f>Y28</f>
        <v>0</v>
      </c>
      <c r="I28" s="224">
        <f>AD28</f>
        <v>30427.042500000003</v>
      </c>
      <c r="J28" s="224">
        <f>AK28</f>
        <v>0</v>
      </c>
      <c r="K28" s="224">
        <f t="shared" si="4"/>
        <v>794382.53</v>
      </c>
      <c r="L28" s="224"/>
      <c r="M28" s="224"/>
      <c r="N28" s="232">
        <f>SUM(H28:K28)+D28</f>
        <v>987241.5725</v>
      </c>
      <c r="O28" s="226"/>
      <c r="P28" s="299" t="s">
        <v>209</v>
      </c>
      <c r="Q28" s="229">
        <f>162432/F10</f>
        <v>162432</v>
      </c>
      <c r="R28" s="227"/>
      <c r="S28" s="230"/>
      <c r="T28" s="237">
        <f>R28+S28</f>
        <v>0</v>
      </c>
      <c r="U28" s="230"/>
      <c r="V28" s="227"/>
      <c r="W28" s="227"/>
      <c r="X28" s="227"/>
      <c r="Y28" s="237">
        <f>U28+V28+W28+X28</f>
        <v>0</v>
      </c>
      <c r="Z28" s="230">
        <f>(2192.94*1.11)*$F$12</f>
        <v>30427.042500000003</v>
      </c>
      <c r="AA28" s="227"/>
      <c r="AB28" s="224"/>
      <c r="AC28" s="230"/>
      <c r="AD28" s="237">
        <f>Z28+AA28+AB28+AC28</f>
        <v>30427.042500000003</v>
      </c>
      <c r="AE28" s="240">
        <f>AD28+Y28+T28+Q28</f>
        <v>192859.0425</v>
      </c>
      <c r="AF28" s="299" t="s">
        <v>209</v>
      </c>
      <c r="AG28" s="230"/>
      <c r="AH28" s="230"/>
      <c r="AI28" s="230"/>
      <c r="AJ28" s="230"/>
      <c r="AK28" s="237">
        <f>AG28+AH28+AI28+AJ28</f>
        <v>0</v>
      </c>
      <c r="AL28" s="230">
        <f>(36423.84*1.11)*$F$12</f>
        <v>505380.77999999997</v>
      </c>
      <c r="AM28" s="230"/>
      <c r="AN28" s="230">
        <f>(20829*1.1)*$F$12+2603</f>
        <v>289001.75</v>
      </c>
      <c r="AO28" s="230"/>
      <c r="AP28" s="237">
        <f>AL28+AM28+AN28+AO28</f>
        <v>794382.53</v>
      </c>
      <c r="AQ28" s="237"/>
      <c r="AR28" s="241">
        <f>AP28+AK28</f>
        <v>794382.53</v>
      </c>
      <c r="AS28" s="242">
        <f>AR28+AE28</f>
        <v>987241.5725</v>
      </c>
    </row>
    <row r="29" spans="1:45" ht="15">
      <c r="A29" s="179">
        <v>8</v>
      </c>
      <c r="B29" s="297" t="s">
        <v>210</v>
      </c>
      <c r="C29" s="298"/>
      <c r="D29" s="224">
        <f>T29</f>
        <v>122515</v>
      </c>
      <c r="E29" s="224">
        <f>(10000+15000)*$F$12</f>
        <v>312500</v>
      </c>
      <c r="F29" s="225"/>
      <c r="G29" s="226"/>
      <c r="H29" s="224">
        <f>Y29</f>
        <v>0</v>
      </c>
      <c r="I29" s="224">
        <f>AD29</f>
        <v>189985</v>
      </c>
      <c r="J29" s="224">
        <f>AK29</f>
        <v>0</v>
      </c>
      <c r="K29" s="224">
        <f t="shared" si="4"/>
        <v>0</v>
      </c>
      <c r="L29" s="224"/>
      <c r="M29" s="224"/>
      <c r="N29" s="232">
        <f>SUM(H29:K29)+D29</f>
        <v>312500</v>
      </c>
      <c r="O29" s="226"/>
      <c r="P29" s="299" t="s">
        <v>210</v>
      </c>
      <c r="Q29" s="229">
        <v>0</v>
      </c>
      <c r="R29" s="227">
        <f>122515</f>
        <v>122515</v>
      </c>
      <c r="S29" s="230"/>
      <c r="T29" s="237">
        <f>R29+S29</f>
        <v>122515</v>
      </c>
      <c r="U29" s="230">
        <v>0</v>
      </c>
      <c r="V29" s="227"/>
      <c r="W29" s="227"/>
      <c r="X29" s="227"/>
      <c r="Y29" s="237">
        <f>U29+V29+W29+X29</f>
        <v>0</v>
      </c>
      <c r="Z29" s="230"/>
      <c r="AA29" s="227">
        <v>189985</v>
      </c>
      <c r="AB29" s="224"/>
      <c r="AC29" s="230"/>
      <c r="AD29" s="237">
        <f>Z29+AA29+AB29+AC29</f>
        <v>189985</v>
      </c>
      <c r="AE29" s="240">
        <f>AD29+Y29+T29+Q29</f>
        <v>312500</v>
      </c>
      <c r="AF29" s="299" t="s">
        <v>210</v>
      </c>
      <c r="AG29" s="230"/>
      <c r="AH29" s="230"/>
      <c r="AI29" s="230"/>
      <c r="AJ29" s="230"/>
      <c r="AK29" s="237">
        <f>AG29+AH29+AI29+AJ29</f>
        <v>0</v>
      </c>
      <c r="AL29" s="230"/>
      <c r="AM29" s="230"/>
      <c r="AN29" s="230"/>
      <c r="AO29" s="230"/>
      <c r="AP29" s="237">
        <f>AL29+AM29+AN29+AO29</f>
        <v>0</v>
      </c>
      <c r="AQ29" s="237"/>
      <c r="AR29" s="241">
        <f>AP29+AK29</f>
        <v>0</v>
      </c>
      <c r="AS29" s="242">
        <f>AR29+AE29</f>
        <v>312500</v>
      </c>
    </row>
    <row r="30" spans="1:45" ht="15.75" thickBot="1">
      <c r="A30" s="179">
        <v>9</v>
      </c>
      <c r="B30" s="297" t="s">
        <v>211</v>
      </c>
      <c r="C30" s="245"/>
      <c r="D30" s="245">
        <f>T30+Q30</f>
        <v>106509.22000000002</v>
      </c>
      <c r="E30" s="245">
        <f>100000*$F$12</f>
        <v>1250000</v>
      </c>
      <c r="F30" s="244"/>
      <c r="G30" s="226"/>
      <c r="H30" s="245">
        <f>Y30</f>
        <v>100000</v>
      </c>
      <c r="I30" s="245">
        <f>AD30</f>
        <v>312500</v>
      </c>
      <c r="J30" s="245">
        <f>AK30</f>
        <v>250000</v>
      </c>
      <c r="K30" s="245">
        <f t="shared" si="4"/>
        <v>162500</v>
      </c>
      <c r="L30" s="245">
        <f t="shared" si="4"/>
        <v>318491</v>
      </c>
      <c r="M30" s="224"/>
      <c r="N30" s="300">
        <f>SUM(H30:K30)+D30+L30</f>
        <v>1250000.22</v>
      </c>
      <c r="O30" s="226"/>
      <c r="P30" s="299" t="s">
        <v>211</v>
      </c>
      <c r="Q30" s="249">
        <f>(239161.39-72275.68)-162432</f>
        <v>4453.710000000021</v>
      </c>
      <c r="R30" s="250">
        <f>80520.39-4454</f>
        <v>76066.39</v>
      </c>
      <c r="S30" s="251">
        <v>25989.12</v>
      </c>
      <c r="T30" s="252">
        <f>R30+S30</f>
        <v>102055.51</v>
      </c>
      <c r="U30" s="251"/>
      <c r="V30" s="250"/>
      <c r="W30" s="250"/>
      <c r="X30" s="250">
        <v>100000</v>
      </c>
      <c r="Y30" s="252">
        <f>U30+V30+W30+X30</f>
        <v>100000</v>
      </c>
      <c r="Z30" s="251"/>
      <c r="AA30" s="251">
        <f>25000*12.5</f>
        <v>312500</v>
      </c>
      <c r="AB30" s="245"/>
      <c r="AC30" s="251"/>
      <c r="AD30" s="252">
        <f>Z30+AA30+AB30+AC30</f>
        <v>312500</v>
      </c>
      <c r="AE30" s="254">
        <f>AD30+Y30+T30+Q30</f>
        <v>519009.22000000003</v>
      </c>
      <c r="AF30" s="299" t="s">
        <v>211</v>
      </c>
      <c r="AG30" s="251"/>
      <c r="AH30" s="251"/>
      <c r="AI30" s="251"/>
      <c r="AJ30" s="251">
        <v>250000</v>
      </c>
      <c r="AK30" s="252">
        <f>AG30+AH30+AI30+AJ30</f>
        <v>250000</v>
      </c>
      <c r="AL30" s="251"/>
      <c r="AM30" s="251"/>
      <c r="AN30" s="251"/>
      <c r="AO30" s="251">
        <f>13000*12.5</f>
        <v>162500</v>
      </c>
      <c r="AP30" s="252">
        <f>AL30+AM30+AN30+AO30</f>
        <v>162500</v>
      </c>
      <c r="AQ30" s="252">
        <f>1250000-931509</f>
        <v>318491</v>
      </c>
      <c r="AR30" s="254">
        <f>AP30+AK30+AQ30</f>
        <v>730991</v>
      </c>
      <c r="AS30" s="255">
        <f>AR30+AE30</f>
        <v>1250000.22</v>
      </c>
    </row>
    <row r="31" spans="1:45" ht="27.75" customHeight="1">
      <c r="A31" s="179" t="s">
        <v>212</v>
      </c>
      <c r="B31" s="256" t="s">
        <v>213</v>
      </c>
      <c r="C31" s="246">
        <f>SUM(C26:C30)</f>
        <v>0</v>
      </c>
      <c r="D31" s="246">
        <f>SUM(D26:D30)</f>
        <v>391456.22000000003</v>
      </c>
      <c r="E31" s="246">
        <f>SUM(E26:E30)</f>
        <v>4943540.125</v>
      </c>
      <c r="F31" s="246"/>
      <c r="G31" s="247"/>
      <c r="H31" s="259">
        <f aca="true" t="shared" si="5" ref="H31:N31">SUM(H26:H30)</f>
        <v>1223903.725</v>
      </c>
      <c r="I31" s="246">
        <f t="shared" si="5"/>
        <v>1324046.6175</v>
      </c>
      <c r="J31" s="246">
        <f t="shared" si="5"/>
        <v>489379.7875</v>
      </c>
      <c r="K31" s="246">
        <f t="shared" si="5"/>
        <v>1196262.3175</v>
      </c>
      <c r="L31" s="246">
        <f t="shared" si="5"/>
        <v>318491</v>
      </c>
      <c r="M31" s="246"/>
      <c r="N31" s="236">
        <f t="shared" si="5"/>
        <v>4943539.6674999995</v>
      </c>
      <c r="O31" s="247"/>
      <c r="P31" s="260" t="s">
        <v>213</v>
      </c>
      <c r="Q31" s="237">
        <f aca="true" t="shared" si="6" ref="Q31:AC31">SUM(Q26:Q30)</f>
        <v>166885.71000000002</v>
      </c>
      <c r="R31" s="236">
        <f t="shared" si="6"/>
        <v>198581.39</v>
      </c>
      <c r="S31" s="237">
        <f t="shared" si="6"/>
        <v>25989.12</v>
      </c>
      <c r="T31" s="237">
        <f t="shared" si="6"/>
        <v>224570.51</v>
      </c>
      <c r="U31" s="237">
        <f t="shared" si="6"/>
        <v>0</v>
      </c>
      <c r="V31" s="236">
        <f t="shared" si="6"/>
        <v>624750</v>
      </c>
      <c r="W31" s="236">
        <f t="shared" si="6"/>
        <v>499153.725</v>
      </c>
      <c r="X31" s="236">
        <f t="shared" si="6"/>
        <v>100000</v>
      </c>
      <c r="Y31" s="237">
        <f t="shared" si="6"/>
        <v>1223903.725</v>
      </c>
      <c r="Z31" s="236">
        <f t="shared" si="6"/>
        <v>30427.042500000003</v>
      </c>
      <c r="AA31" s="236">
        <f t="shared" si="6"/>
        <v>814860</v>
      </c>
      <c r="AB31" s="236">
        <f t="shared" si="6"/>
        <v>166384.575</v>
      </c>
      <c r="AC31" s="236">
        <f t="shared" si="6"/>
        <v>312375</v>
      </c>
      <c r="AD31" s="237">
        <f>SUM(AD26:AD30)</f>
        <v>1324046.6175</v>
      </c>
      <c r="AE31" s="237">
        <f>SUM(AE26:AE30)</f>
        <v>2939406.5625000005</v>
      </c>
      <c r="AF31" s="260" t="s">
        <v>213</v>
      </c>
      <c r="AG31" s="237">
        <f aca="true" t="shared" si="7" ref="AG31:AR31">SUM(AG26:AG30)</f>
        <v>0</v>
      </c>
      <c r="AH31" s="237">
        <f t="shared" si="7"/>
        <v>156187.5</v>
      </c>
      <c r="AI31" s="237">
        <f t="shared" si="7"/>
        <v>83192.2875</v>
      </c>
      <c r="AJ31" s="237">
        <f t="shared" si="7"/>
        <v>250000</v>
      </c>
      <c r="AK31" s="237">
        <f t="shared" si="7"/>
        <v>489379.7875</v>
      </c>
      <c r="AL31" s="237">
        <f t="shared" si="7"/>
        <v>661568.28</v>
      </c>
      <c r="AM31" s="237">
        <f t="shared" si="7"/>
        <v>83192.2875</v>
      </c>
      <c r="AN31" s="237">
        <f t="shared" si="7"/>
        <v>289001.75</v>
      </c>
      <c r="AO31" s="237">
        <f t="shared" si="7"/>
        <v>162500</v>
      </c>
      <c r="AP31" s="237">
        <f t="shared" si="7"/>
        <v>1196262.3175</v>
      </c>
      <c r="AQ31" s="237">
        <f t="shared" si="7"/>
        <v>318491</v>
      </c>
      <c r="AR31" s="237">
        <f t="shared" si="7"/>
        <v>2004133.105</v>
      </c>
      <c r="AS31" s="241">
        <f>AR31+AE31</f>
        <v>4943539.6675</v>
      </c>
    </row>
    <row r="32" spans="1:45" ht="15.75" thickBot="1">
      <c r="A32" s="179"/>
      <c r="B32" s="297"/>
      <c r="C32" s="298"/>
      <c r="D32" s="224"/>
      <c r="E32" s="224"/>
      <c r="F32" s="225"/>
      <c r="G32" s="226"/>
      <c r="H32" s="224"/>
      <c r="I32" s="224"/>
      <c r="J32" s="224"/>
      <c r="K32" s="224"/>
      <c r="L32" s="224"/>
      <c r="M32" s="224"/>
      <c r="N32" s="227"/>
      <c r="O32" s="226"/>
      <c r="P32" s="299"/>
      <c r="Q32" s="230"/>
      <c r="R32" s="227"/>
      <c r="S32" s="230"/>
      <c r="T32" s="230"/>
      <c r="U32" s="230"/>
      <c r="V32" s="227"/>
      <c r="W32" s="227"/>
      <c r="X32" s="227"/>
      <c r="Y32" s="230"/>
      <c r="Z32" s="230"/>
      <c r="AA32" s="227"/>
      <c r="AB32" s="224"/>
      <c r="AC32" s="251"/>
      <c r="AD32" s="251"/>
      <c r="AE32" s="263"/>
      <c r="AF32" s="299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63"/>
      <c r="AS32" s="263"/>
    </row>
    <row r="33" spans="1:45" ht="21.75" customHeight="1" thickBot="1">
      <c r="A33" s="179"/>
      <c r="B33" s="264" t="s">
        <v>214</v>
      </c>
      <c r="C33" s="265"/>
      <c r="D33" s="266">
        <f>D24+D31</f>
        <v>391456.22000000003</v>
      </c>
      <c r="E33" s="266">
        <f>E31</f>
        <v>4943540.125</v>
      </c>
      <c r="F33" s="267"/>
      <c r="G33" s="247"/>
      <c r="H33" s="266">
        <f>H31+D33</f>
        <v>1615359.945</v>
      </c>
      <c r="I33" s="266">
        <f>H33+I31</f>
        <v>2939406.5625</v>
      </c>
      <c r="J33" s="266">
        <f>I33+J31</f>
        <v>3428786.35</v>
      </c>
      <c r="K33" s="266">
        <f>J33+K31</f>
        <v>4625048.6675</v>
      </c>
      <c r="L33" s="266">
        <f>K33+L31</f>
        <v>4943539.6675</v>
      </c>
      <c r="M33" s="266"/>
      <c r="N33" s="268">
        <f>N31</f>
        <v>4943539.6674999995</v>
      </c>
      <c r="O33" s="247"/>
      <c r="P33" s="269" t="s">
        <v>214</v>
      </c>
      <c r="Q33" s="270">
        <f>Q26+Q31</f>
        <v>166885.71000000002</v>
      </c>
      <c r="R33" s="301">
        <f>R26+R31+Q33</f>
        <v>365467.10000000003</v>
      </c>
      <c r="S33" s="301">
        <f>S26+S31+R33</f>
        <v>391456.22000000003</v>
      </c>
      <c r="T33" s="271">
        <f>Q33+T31</f>
        <v>391456.22000000003</v>
      </c>
      <c r="U33" s="266">
        <f>U31+T33</f>
        <v>391456.22000000003</v>
      </c>
      <c r="V33" s="266">
        <f>V31+U33</f>
        <v>1016206.22</v>
      </c>
      <c r="W33" s="266">
        <f>W31+V33</f>
        <v>1515359.9449999998</v>
      </c>
      <c r="X33" s="266">
        <f>X31+W33</f>
        <v>1615359.9449999998</v>
      </c>
      <c r="Y33" s="271">
        <f>Y31+T33</f>
        <v>1615359.945</v>
      </c>
      <c r="Z33" s="266">
        <f>Z31+Y33</f>
        <v>1645786.9875</v>
      </c>
      <c r="AA33" s="266">
        <f>AA31+Z33</f>
        <v>2460646.9875</v>
      </c>
      <c r="AB33" s="266">
        <f>AB31+AA33</f>
        <v>2627031.5625</v>
      </c>
      <c r="AC33" s="266">
        <f>AC31+AB33</f>
        <v>2939406.5625</v>
      </c>
      <c r="AD33" s="302">
        <f>AD31+Y33</f>
        <v>2939406.5625</v>
      </c>
      <c r="AE33" s="273">
        <f>AE31</f>
        <v>2939406.5625000005</v>
      </c>
      <c r="AF33" s="269" t="s">
        <v>214</v>
      </c>
      <c r="AG33" s="303">
        <f>AE33+AG31</f>
        <v>2939406.5625000005</v>
      </c>
      <c r="AH33" s="303">
        <f>AG33+AH31</f>
        <v>3095594.0625000005</v>
      </c>
      <c r="AI33" s="303">
        <f>AH33+AI31</f>
        <v>3178786.3500000006</v>
      </c>
      <c r="AJ33" s="303">
        <f>AI33+AJ31</f>
        <v>3428786.3500000006</v>
      </c>
      <c r="AK33" s="302">
        <f>AE33+AK31</f>
        <v>3428786.3500000006</v>
      </c>
      <c r="AL33" s="303">
        <f>AL31+AK33</f>
        <v>4090354.630000001</v>
      </c>
      <c r="AM33" s="303">
        <f>AM31+AL33</f>
        <v>4173546.917500001</v>
      </c>
      <c r="AN33" s="303">
        <f>AN31+AM33</f>
        <v>4462548.6675</v>
      </c>
      <c r="AO33" s="303">
        <f>AO31+AN33</f>
        <v>4625048.6675</v>
      </c>
      <c r="AP33" s="302">
        <f>AP31+AK33</f>
        <v>4625048.6675</v>
      </c>
      <c r="AQ33" s="272">
        <f>AQ31+AP33</f>
        <v>4943539.6675</v>
      </c>
      <c r="AR33" s="303"/>
      <c r="AS33" s="274">
        <f>AS31</f>
        <v>4943539.6675</v>
      </c>
    </row>
    <row r="34" spans="1:43" ht="16.5" thickBot="1" thickTop="1">
      <c r="A34" s="165"/>
      <c r="B34" s="202"/>
      <c r="C34" s="203"/>
      <c r="D34" s="304"/>
      <c r="E34" s="304"/>
      <c r="F34" s="304"/>
      <c r="G34" s="247"/>
      <c r="H34" s="305"/>
      <c r="I34" s="305"/>
      <c r="J34" s="246"/>
      <c r="K34" s="246"/>
      <c r="L34" s="305"/>
      <c r="M34" s="305"/>
      <c r="N34" s="236"/>
      <c r="O34" s="247"/>
      <c r="P34" s="306"/>
      <c r="Q34" s="307"/>
      <c r="R34" s="308"/>
      <c r="S34" s="307"/>
      <c r="T34" s="307"/>
      <c r="U34" s="307"/>
      <c r="V34" s="308"/>
      <c r="W34" s="308"/>
      <c r="X34" s="308"/>
      <c r="Y34" s="246"/>
      <c r="Z34" s="246"/>
      <c r="AA34" s="246"/>
      <c r="AB34" s="246"/>
      <c r="AC34" s="246"/>
      <c r="AD34" s="246"/>
      <c r="AF34" s="30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</row>
    <row r="35" spans="1:45" ht="21.75" customHeight="1" thickBot="1" thickTop="1">
      <c r="A35" s="179"/>
      <c r="B35" s="309" t="s">
        <v>215</v>
      </c>
      <c r="C35" s="310"/>
      <c r="D35" s="311">
        <f>D21-D33</f>
        <v>542848.77</v>
      </c>
      <c r="E35" s="311">
        <f>E21-E33</f>
        <v>333459.875</v>
      </c>
      <c r="F35" s="312"/>
      <c r="G35" s="313"/>
      <c r="H35" s="314">
        <f>H21-H33</f>
        <v>450945.0449999999</v>
      </c>
      <c r="I35" s="314">
        <f>I21-I33</f>
        <v>116898.42750000022</v>
      </c>
      <c r="J35" s="314">
        <f>J21-J33</f>
        <v>937213.6400000001</v>
      </c>
      <c r="K35" s="314">
        <f>K21-K33</f>
        <v>651951.3224999998</v>
      </c>
      <c r="L35" s="314">
        <f>L21-L33</f>
        <v>333460.3224999998</v>
      </c>
      <c r="M35" s="314">
        <f>M21-M31</f>
        <v>0</v>
      </c>
      <c r="N35" s="315">
        <f>N21-N31</f>
        <v>333460.3225000007</v>
      </c>
      <c r="O35" s="313"/>
      <c r="P35" s="316" t="s">
        <v>215</v>
      </c>
      <c r="Q35" s="317">
        <f>Q21-Q33</f>
        <v>176934.28999999998</v>
      </c>
      <c r="R35" s="318">
        <f>R21-R33-Q33</f>
        <v>401952.1799999999</v>
      </c>
      <c r="S35" s="318">
        <f>S21-S33</f>
        <v>542848.77</v>
      </c>
      <c r="T35" s="317">
        <f>T21-T33</f>
        <v>542848.77</v>
      </c>
      <c r="U35" s="318">
        <f>U21-U33</f>
        <v>542848.77</v>
      </c>
      <c r="V35" s="318">
        <f>V21-V33</f>
        <v>-81901.22999999998</v>
      </c>
      <c r="W35" s="318">
        <f aca="true" t="shared" si="8" ref="W35:AD35">W21-W33</f>
        <v>150945.04500000016</v>
      </c>
      <c r="X35" s="318">
        <f t="shared" si="8"/>
        <v>450945.04500000016</v>
      </c>
      <c r="Y35" s="317">
        <f t="shared" si="8"/>
        <v>450945.0449999999</v>
      </c>
      <c r="Z35" s="318">
        <f t="shared" si="8"/>
        <v>520518.0025000002</v>
      </c>
      <c r="AA35" s="318">
        <f t="shared" si="8"/>
        <v>-144341.9974999996</v>
      </c>
      <c r="AB35" s="318">
        <f t="shared" si="8"/>
        <v>-210726.57249999978</v>
      </c>
      <c r="AC35" s="318">
        <f>AC21-AC33</f>
        <v>116898.42750000022</v>
      </c>
      <c r="AD35" s="317">
        <f t="shared" si="8"/>
        <v>116898.42750000022</v>
      </c>
      <c r="AE35" s="319">
        <f>AE19-AE31</f>
        <v>116898.42749999976</v>
      </c>
      <c r="AF35" s="316" t="s">
        <v>215</v>
      </c>
      <c r="AG35" s="318">
        <f aca="true" t="shared" si="9" ref="AG35:AS35">AG21-AG33</f>
        <v>116898.42749999976</v>
      </c>
      <c r="AH35" s="318">
        <f t="shared" si="9"/>
        <v>242710.92749999976</v>
      </c>
      <c r="AI35" s="318">
        <f t="shared" si="9"/>
        <v>1074518.6399999997</v>
      </c>
      <c r="AJ35" s="318">
        <f t="shared" si="9"/>
        <v>937213.6399999997</v>
      </c>
      <c r="AK35" s="317">
        <f t="shared" si="9"/>
        <v>937213.6399999997</v>
      </c>
      <c r="AL35" s="318">
        <f t="shared" si="9"/>
        <v>275645.3599999994</v>
      </c>
      <c r="AM35" s="318">
        <f t="shared" si="9"/>
        <v>192453.0724999993</v>
      </c>
      <c r="AN35" s="318">
        <f t="shared" si="9"/>
        <v>814451.3224999998</v>
      </c>
      <c r="AO35" s="318">
        <f t="shared" si="9"/>
        <v>651951.3224999998</v>
      </c>
      <c r="AP35" s="317">
        <f t="shared" si="9"/>
        <v>651951.3224999998</v>
      </c>
      <c r="AQ35" s="319">
        <f t="shared" si="9"/>
        <v>333460.3224999998</v>
      </c>
      <c r="AR35" s="317">
        <f t="shared" si="9"/>
        <v>0</v>
      </c>
      <c r="AS35" s="319">
        <f t="shared" si="9"/>
        <v>333460.3224999998</v>
      </c>
    </row>
    <row r="36" spans="1:45" ht="15" thickBot="1">
      <c r="A36" s="179"/>
      <c r="B36" s="320"/>
      <c r="C36" s="321"/>
      <c r="D36" s="321"/>
      <c r="E36" s="321"/>
      <c r="F36" s="322"/>
      <c r="G36" s="323"/>
      <c r="H36" s="321"/>
      <c r="I36" s="321"/>
      <c r="J36" s="321"/>
      <c r="K36" s="321"/>
      <c r="L36" s="321"/>
      <c r="M36" s="321"/>
      <c r="N36" s="324"/>
      <c r="O36" s="164"/>
      <c r="P36" s="262"/>
      <c r="Q36" s="262"/>
      <c r="R36" s="324"/>
      <c r="S36" s="262"/>
      <c r="T36" s="262"/>
      <c r="U36" s="262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262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</row>
    <row r="37" spans="1:22" ht="13.5">
      <c r="A37" s="162"/>
      <c r="B37" s="162"/>
      <c r="C37" s="162"/>
      <c r="D37" s="162"/>
      <c r="E37" s="162"/>
      <c r="F37" s="163"/>
      <c r="G37" s="164"/>
      <c r="H37" s="325"/>
      <c r="I37" s="325"/>
      <c r="J37" s="325"/>
      <c r="K37" s="325"/>
      <c r="L37" s="325"/>
      <c r="M37" s="164"/>
      <c r="N37" s="326"/>
      <c r="O37" s="164"/>
      <c r="P37" s="164"/>
      <c r="Q37" s="162"/>
      <c r="R37" s="162"/>
      <c r="S37" s="162"/>
      <c r="T37" s="162"/>
      <c r="U37" s="165"/>
      <c r="V37" s="165"/>
    </row>
    <row r="38" spans="1:22" ht="13.5">
      <c r="A38" s="162"/>
      <c r="B38" s="327" t="s">
        <v>216</v>
      </c>
      <c r="C38" s="327"/>
      <c r="D38" s="327"/>
      <c r="E38" s="162"/>
      <c r="F38" s="163"/>
      <c r="G38" s="164"/>
      <c r="H38" s="164"/>
      <c r="I38" s="164"/>
      <c r="J38" s="164"/>
      <c r="K38" s="164"/>
      <c r="L38" s="164"/>
      <c r="M38" s="164"/>
      <c r="N38" s="326"/>
      <c r="O38" s="164"/>
      <c r="P38" s="164"/>
      <c r="Q38" s="162"/>
      <c r="R38" s="162"/>
      <c r="S38" s="162"/>
      <c r="T38" s="162"/>
      <c r="U38" s="165"/>
      <c r="V38" s="165"/>
    </row>
    <row r="39" spans="1:45" ht="13.5">
      <c r="A39" s="162"/>
      <c r="B39" t="s">
        <v>217</v>
      </c>
      <c r="C39" s="327"/>
      <c r="D39" s="327"/>
      <c r="E39" s="162"/>
      <c r="F39" s="163"/>
      <c r="G39" s="164"/>
      <c r="H39" s="176" t="s">
        <v>218</v>
      </c>
      <c r="I39" s="164"/>
      <c r="J39" s="164"/>
      <c r="K39" s="164"/>
      <c r="L39" s="164"/>
      <c r="M39" s="164"/>
      <c r="N39" s="164"/>
      <c r="O39" s="164"/>
      <c r="P39" s="164"/>
      <c r="Q39" s="162"/>
      <c r="R39" s="162"/>
      <c r="S39" s="162"/>
      <c r="T39" s="162"/>
      <c r="U39" s="165"/>
      <c r="V39" s="165"/>
      <c r="AS39" s="328"/>
    </row>
    <row r="40" spans="1:22" ht="13.5">
      <c r="A40" s="162"/>
      <c r="B40" t="s">
        <v>219</v>
      </c>
      <c r="C40" s="327"/>
      <c r="D40" s="327"/>
      <c r="E40" s="162"/>
      <c r="F40" s="163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2"/>
      <c r="R40" s="162"/>
      <c r="S40" s="162"/>
      <c r="T40" s="162"/>
      <c r="U40" s="165"/>
      <c r="V40" s="165"/>
    </row>
    <row r="41" spans="1:22" ht="13.5">
      <c r="A41" s="162"/>
      <c r="B41" s="329" t="s">
        <v>220</v>
      </c>
      <c r="C41" s="327"/>
      <c r="D41" s="327"/>
      <c r="E41" s="162"/>
      <c r="F41" s="163"/>
      <c r="G41" s="164"/>
      <c r="H41" s="326" t="s">
        <v>221</v>
      </c>
      <c r="I41" s="164"/>
      <c r="J41" s="164"/>
      <c r="K41" s="164"/>
      <c r="L41" s="164"/>
      <c r="M41" s="164"/>
      <c r="N41" s="164"/>
      <c r="O41" s="164"/>
      <c r="P41" s="164"/>
      <c r="Q41" s="162"/>
      <c r="R41" s="162"/>
      <c r="S41" s="162"/>
      <c r="T41" s="162"/>
      <c r="U41" s="165"/>
      <c r="V41" s="165"/>
    </row>
    <row r="42" spans="2:30" ht="18">
      <c r="B42" s="327" t="s">
        <v>222</v>
      </c>
      <c r="H42" s="331" t="s">
        <v>223</v>
      </c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</row>
    <row r="44" ht="13.5">
      <c r="B44" s="329"/>
    </row>
  </sheetData>
  <sheetProtection/>
  <mergeCells count="8">
    <mergeCell ref="AK6:AN6"/>
    <mergeCell ref="Q7:T9"/>
    <mergeCell ref="Q42:AD42"/>
    <mergeCell ref="B2:E2"/>
    <mergeCell ref="B4:E4"/>
    <mergeCell ref="B5:E5"/>
    <mergeCell ref="B6:E6"/>
    <mergeCell ref="S6:V6"/>
  </mergeCells>
  <printOptions/>
  <pageMargins left="0.17" right="0.3" top="0.75" bottom="0.75" header="0.3" footer="0.3"/>
  <pageSetup fitToWidth="2" horizontalDpi="600" verticalDpi="600" orientation="landscape" scale="50"/>
  <headerFooter alignWithMargins="0">
    <oddFooter>&amp;C&amp;P&amp;R&amp;F</oddFooter>
  </headerFooter>
  <colBreaks count="1" manualBreakCount="1">
    <brk id="31" max="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05"/>
  <sheetViews>
    <sheetView workbookViewId="0" topLeftCell="B81">
      <selection activeCell="B105" sqref="B105"/>
    </sheetView>
  </sheetViews>
  <sheetFormatPr defaultColWidth="9.140625" defaultRowHeight="15"/>
  <cols>
    <col min="1" max="1" width="3.140625" style="162" hidden="1" customWidth="1"/>
    <col min="2" max="2" width="52.7109375" style="162" customWidth="1"/>
    <col min="3" max="5" width="15.8515625" style="162" customWidth="1"/>
    <col min="6" max="6" width="2.421875" style="165" customWidth="1"/>
    <col min="7" max="7" width="16.421875" style="162" customWidth="1"/>
    <col min="8" max="8" width="17.28125" style="162" customWidth="1"/>
    <col min="9" max="9" width="17.421875" style="162" customWidth="1"/>
    <col min="10" max="10" width="1.28515625" style="165" customWidth="1"/>
    <col min="11" max="11" width="9.140625" style="162" customWidth="1"/>
    <col min="12" max="12" width="11.28125" style="162" bestFit="1" customWidth="1"/>
    <col min="13" max="16384" width="9.140625" style="162" customWidth="1"/>
  </cols>
  <sheetData>
    <row r="1" ht="12" hidden="1"/>
    <row r="2" ht="12" hidden="1"/>
    <row r="3" ht="12" hidden="1"/>
    <row r="4" spans="2:10" ht="16.5" hidden="1">
      <c r="B4" s="440" t="s">
        <v>148</v>
      </c>
      <c r="C4" s="440"/>
      <c r="D4" s="440"/>
      <c r="E4" s="440"/>
      <c r="F4" s="440"/>
      <c r="G4" s="440"/>
      <c r="H4" s="440"/>
      <c r="I4" s="440"/>
      <c r="J4" s="332"/>
    </row>
    <row r="5" ht="12" hidden="1">
      <c r="B5" s="333"/>
    </row>
    <row r="6" spans="2:10" ht="12" hidden="1">
      <c r="B6" s="441" t="s">
        <v>224</v>
      </c>
      <c r="C6" s="441"/>
      <c r="D6" s="441"/>
      <c r="E6" s="441"/>
      <c r="F6" s="441"/>
      <c r="G6" s="441"/>
      <c r="H6" s="441"/>
      <c r="I6" s="441"/>
      <c r="J6" s="334"/>
    </row>
    <row r="7" spans="2:10" ht="12" hidden="1">
      <c r="B7" s="441" t="s">
        <v>225</v>
      </c>
      <c r="C7" s="441"/>
      <c r="D7" s="441"/>
      <c r="E7" s="441"/>
      <c r="F7" s="441"/>
      <c r="G7" s="441"/>
      <c r="H7" s="441"/>
      <c r="I7" s="441"/>
      <c r="J7" s="334"/>
    </row>
    <row r="8" spans="2:10" ht="12" hidden="1">
      <c r="B8" s="442" t="s">
        <v>226</v>
      </c>
      <c r="C8" s="442"/>
      <c r="D8" s="442"/>
      <c r="E8" s="442"/>
      <c r="F8" s="442"/>
      <c r="G8" s="442"/>
      <c r="H8" s="442"/>
      <c r="I8" s="442"/>
      <c r="J8" s="335"/>
    </row>
    <row r="9" ht="12" hidden="1">
      <c r="H9" s="336" t="s">
        <v>227</v>
      </c>
    </row>
    <row r="10" ht="12" hidden="1"/>
    <row r="11" ht="12" hidden="1">
      <c r="B11" s="163"/>
    </row>
    <row r="12" spans="2:10" ht="24.75" hidden="1">
      <c r="B12" s="337" t="s">
        <v>228</v>
      </c>
      <c r="C12" s="338"/>
      <c r="D12" s="339"/>
      <c r="E12" s="339"/>
      <c r="F12" s="334"/>
      <c r="G12" s="340" t="s">
        <v>229</v>
      </c>
      <c r="H12" s="341" t="s">
        <v>230</v>
      </c>
      <c r="I12" s="339"/>
      <c r="J12" s="334"/>
    </row>
    <row r="13" spans="2:9" ht="12" hidden="1">
      <c r="B13" s="163"/>
      <c r="C13" s="342"/>
      <c r="D13" s="342"/>
      <c r="E13" s="342"/>
      <c r="I13" s="342"/>
    </row>
    <row r="14" spans="2:10" ht="12" hidden="1">
      <c r="B14" s="334" t="s">
        <v>231</v>
      </c>
      <c r="C14" s="342"/>
      <c r="D14" s="342"/>
      <c r="E14" s="342"/>
      <c r="G14" s="343" t="e">
        <f>'[4]DONATIVOS M.N.'!H8/#REF!-G59</f>
        <v>#REF!</v>
      </c>
      <c r="H14" s="344"/>
      <c r="I14" s="345"/>
      <c r="J14" s="346"/>
    </row>
    <row r="15" spans="2:9" ht="12" hidden="1">
      <c r="B15" s="163"/>
      <c r="C15" s="342"/>
      <c r="D15" s="342"/>
      <c r="E15" s="342"/>
      <c r="G15" s="347"/>
      <c r="H15" s="348"/>
      <c r="I15" s="342"/>
    </row>
    <row r="16" spans="2:10" ht="12" hidden="1">
      <c r="B16" s="349" t="s">
        <v>232</v>
      </c>
      <c r="C16" s="350"/>
      <c r="D16" s="350"/>
      <c r="E16" s="350"/>
      <c r="F16" s="225"/>
      <c r="G16" s="348" t="e">
        <f>'[4]DONATIVOS M.N.'!H70/'1ERA FASE PROY BIB 31.OCT.09 '!#REF!</f>
        <v>#REF!</v>
      </c>
      <c r="H16" s="351">
        <v>40000</v>
      </c>
      <c r="I16" s="351"/>
      <c r="J16" s="225"/>
    </row>
    <row r="17" spans="2:10" ht="12" hidden="1">
      <c r="B17" s="163" t="s">
        <v>233</v>
      </c>
      <c r="C17" s="350"/>
      <c r="D17" s="350"/>
      <c r="E17" s="350"/>
      <c r="F17" s="225"/>
      <c r="G17" s="348" t="e">
        <f>('[4]DONATIVOS M.N.'!H43+'[4]DONATIVOS M.N.'!H60)/#REF!-G64</f>
        <v>#REF!</v>
      </c>
      <c r="H17" s="351">
        <v>365000</v>
      </c>
      <c r="I17" s="351"/>
      <c r="J17" s="225"/>
    </row>
    <row r="18" spans="2:10" ht="12" hidden="1">
      <c r="B18" s="163" t="s">
        <v>234</v>
      </c>
      <c r="C18" s="350"/>
      <c r="D18" s="350"/>
      <c r="E18" s="350"/>
      <c r="F18" s="225"/>
      <c r="G18" s="348"/>
      <c r="H18" s="351">
        <v>0</v>
      </c>
      <c r="I18" s="351"/>
      <c r="J18" s="225"/>
    </row>
    <row r="19" spans="2:10" ht="12.75" hidden="1" thickBot="1">
      <c r="B19" s="163"/>
      <c r="C19" s="350"/>
      <c r="D19" s="350"/>
      <c r="E19" s="350"/>
      <c r="F19" s="225"/>
      <c r="G19" s="352"/>
      <c r="H19" s="244"/>
      <c r="I19" s="244"/>
      <c r="J19" s="225"/>
    </row>
    <row r="20" spans="2:10" ht="12" hidden="1">
      <c r="B20" s="353" t="s">
        <v>235</v>
      </c>
      <c r="C20" s="350"/>
      <c r="D20" s="350"/>
      <c r="E20" s="350"/>
      <c r="F20" s="225"/>
      <c r="G20" s="258" t="e">
        <f>SUM(G16:G18)</f>
        <v>#REF!</v>
      </c>
      <c r="H20" s="246">
        <f>SUM(H14:H18)</f>
        <v>405000</v>
      </c>
      <c r="I20" s="225"/>
      <c r="J20" s="225"/>
    </row>
    <row r="21" spans="2:10" ht="12" hidden="1">
      <c r="B21" s="354"/>
      <c r="C21" s="350"/>
      <c r="D21" s="350"/>
      <c r="E21" s="350"/>
      <c r="F21" s="225"/>
      <c r="H21" s="355"/>
      <c r="I21" s="350"/>
      <c r="J21" s="225"/>
    </row>
    <row r="22" spans="2:10" ht="12" hidden="1">
      <c r="B22" s="356" t="s">
        <v>236</v>
      </c>
      <c r="C22" s="350"/>
      <c r="D22" s="350"/>
      <c r="E22" s="350"/>
      <c r="F22" s="225"/>
      <c r="H22" s="355"/>
      <c r="I22" s="350"/>
      <c r="J22" s="225"/>
    </row>
    <row r="23" spans="2:10" ht="12" hidden="1">
      <c r="B23" s="163" t="s">
        <v>237</v>
      </c>
      <c r="C23" s="350"/>
      <c r="D23" s="350"/>
      <c r="E23" s="350"/>
      <c r="F23" s="225"/>
      <c r="G23" s="348">
        <v>0</v>
      </c>
      <c r="H23" s="351">
        <v>50000</v>
      </c>
      <c r="I23" s="350"/>
      <c r="J23" s="225"/>
    </row>
    <row r="24" spans="2:10" ht="12" hidden="1">
      <c r="B24" s="162" t="s">
        <v>238</v>
      </c>
      <c r="G24" s="347">
        <v>0</v>
      </c>
      <c r="H24" s="351">
        <v>30000</v>
      </c>
      <c r="I24" s="350"/>
      <c r="J24" s="225"/>
    </row>
    <row r="25" spans="2:10" ht="12" hidden="1">
      <c r="B25" s="163" t="s">
        <v>239</v>
      </c>
      <c r="C25" s="350"/>
      <c r="D25" s="350"/>
      <c r="E25" s="350"/>
      <c r="F25" s="225"/>
      <c r="G25" s="351" t="e">
        <f>('[4]DONATIVOS M.N.'!G81)/#REF!</f>
        <v>#REF!</v>
      </c>
      <c r="H25" s="351">
        <v>80000</v>
      </c>
      <c r="I25" s="350"/>
      <c r="J25" s="225"/>
    </row>
    <row r="26" spans="2:10" ht="12" hidden="1">
      <c r="B26" s="162" t="s">
        <v>240</v>
      </c>
      <c r="G26" s="348">
        <v>0</v>
      </c>
      <c r="H26" s="351">
        <v>45000</v>
      </c>
      <c r="I26" s="350"/>
      <c r="J26" s="225"/>
    </row>
    <row r="27" spans="2:10" ht="12" hidden="1">
      <c r="B27" s="162" t="s">
        <v>241</v>
      </c>
      <c r="G27" s="348">
        <v>0</v>
      </c>
      <c r="H27" s="351">
        <v>35000</v>
      </c>
      <c r="I27" s="350"/>
      <c r="J27" s="225"/>
    </row>
    <row r="28" spans="2:10" ht="12" hidden="1">
      <c r="B28" s="162" t="s">
        <v>242</v>
      </c>
      <c r="G28" s="348">
        <v>0</v>
      </c>
      <c r="H28" s="351">
        <v>50000</v>
      </c>
      <c r="I28" s="350"/>
      <c r="J28" s="225"/>
    </row>
    <row r="29" spans="2:10" ht="12" hidden="1">
      <c r="B29" s="163" t="s">
        <v>243</v>
      </c>
      <c r="G29" s="348">
        <v>0</v>
      </c>
      <c r="H29" s="351">
        <v>70000</v>
      </c>
      <c r="I29" s="350"/>
      <c r="J29" s="225"/>
    </row>
    <row r="30" spans="2:10" ht="12" hidden="1">
      <c r="B30" s="163" t="s">
        <v>244</v>
      </c>
      <c r="G30" s="348"/>
      <c r="H30" s="351">
        <v>25000</v>
      </c>
      <c r="I30" s="350"/>
      <c r="J30" s="225"/>
    </row>
    <row r="31" spans="2:9" ht="12.75" hidden="1" thickBot="1">
      <c r="B31" s="163" t="s">
        <v>245</v>
      </c>
      <c r="G31" s="357" t="e">
        <f>'[4]DONATIVOS M.N.'!G86/'1ERA FASE PROY BIB 31.OCT.09 '!#REF!</f>
        <v>#REF!</v>
      </c>
      <c r="H31" s="244">
        <v>20000</v>
      </c>
      <c r="I31" s="321"/>
    </row>
    <row r="32" spans="2:10" ht="12" hidden="1">
      <c r="B32" s="353" t="s">
        <v>246</v>
      </c>
      <c r="G32" s="358" t="e">
        <f>SUM(G23:G31)</f>
        <v>#REF!</v>
      </c>
      <c r="H32" s="359">
        <f>SUM(H23:H31)</f>
        <v>405000</v>
      </c>
      <c r="I32" s="358"/>
      <c r="J32" s="359"/>
    </row>
    <row r="33" spans="2:9" ht="12" hidden="1">
      <c r="B33" s="163"/>
      <c r="G33" s="179"/>
      <c r="H33" s="179"/>
      <c r="I33" s="179"/>
    </row>
    <row r="34" spans="2:6" ht="12" hidden="1">
      <c r="B34" s="360" t="s">
        <v>247</v>
      </c>
      <c r="C34" s="361"/>
      <c r="D34" s="361"/>
      <c r="E34" s="361"/>
      <c r="F34" s="346"/>
    </row>
    <row r="35" spans="2:10" s="163" customFormat="1" ht="12" hidden="1">
      <c r="B35" s="362"/>
      <c r="C35" s="346"/>
      <c r="D35" s="346"/>
      <c r="E35" s="346"/>
      <c r="F35" s="346"/>
      <c r="G35" s="359"/>
      <c r="H35" s="359"/>
      <c r="I35" s="346"/>
      <c r="J35" s="346"/>
    </row>
    <row r="36" spans="2:10" s="163" customFormat="1" ht="12" hidden="1">
      <c r="B36" s="362"/>
      <c r="C36" s="346"/>
      <c r="D36" s="346"/>
      <c r="E36" s="346"/>
      <c r="F36" s="346"/>
      <c r="G36" s="165"/>
      <c r="H36" s="359">
        <v>0</v>
      </c>
      <c r="I36" s="346"/>
      <c r="J36" s="346"/>
    </row>
    <row r="37" spans="2:10" s="163" customFormat="1" ht="12" hidden="1">
      <c r="B37" s="362"/>
      <c r="C37" s="346"/>
      <c r="D37" s="346"/>
      <c r="E37" s="346"/>
      <c r="F37" s="346"/>
      <c r="G37" s="359"/>
      <c r="H37" s="359"/>
      <c r="I37" s="346"/>
      <c r="J37" s="346"/>
    </row>
    <row r="38" spans="2:10" s="163" customFormat="1" ht="12" hidden="1">
      <c r="B38" s="362"/>
      <c r="C38" s="346"/>
      <c r="D38" s="346"/>
      <c r="E38" s="346"/>
      <c r="F38" s="346"/>
      <c r="G38" s="359"/>
      <c r="H38" s="359">
        <v>0</v>
      </c>
      <c r="I38" s="346"/>
      <c r="J38" s="346"/>
    </row>
    <row r="39" spans="2:10" ht="12" hidden="1">
      <c r="B39" s="163" t="s">
        <v>248</v>
      </c>
      <c r="G39" s="347" t="e">
        <f>'[4]DONATIVOS M.N.'!G77/#REF!</f>
        <v>#REF!</v>
      </c>
      <c r="H39" s="344"/>
      <c r="I39" s="345"/>
      <c r="J39" s="346"/>
    </row>
    <row r="40" spans="2:9" ht="12" hidden="1">
      <c r="B40" s="163" t="s">
        <v>249</v>
      </c>
      <c r="H40" s="363"/>
      <c r="I40" s="364"/>
    </row>
    <row r="41" spans="2:9" ht="12" hidden="1">
      <c r="B41" s="163" t="s">
        <v>239</v>
      </c>
      <c r="G41" s="224" t="e">
        <f>('[4]DONATIVOS M.N.'!G80)/'1ERA FASE PROY BIB 31.OCT.09 '!#REF!</f>
        <v>#REF!</v>
      </c>
      <c r="H41" s="363"/>
      <c r="I41" s="364"/>
    </row>
    <row r="42" spans="2:9" ht="12.75" hidden="1" thickBot="1">
      <c r="B42" s="163" t="s">
        <v>250</v>
      </c>
      <c r="G42" s="245" t="e">
        <f>('[4]DONATIVOS M.N.'!G79)/#REF!</f>
        <v>#REF!</v>
      </c>
      <c r="H42" s="365"/>
      <c r="I42" s="366"/>
    </row>
    <row r="43" spans="2:10" ht="12" hidden="1">
      <c r="B43" s="353" t="s">
        <v>251</v>
      </c>
      <c r="G43" s="358" t="e">
        <f>SUM(G35:G42)</f>
        <v>#REF!</v>
      </c>
      <c r="H43" s="358">
        <f>SUM(H35:H42)</f>
        <v>0</v>
      </c>
      <c r="I43" s="358"/>
      <c r="J43" s="359"/>
    </row>
    <row r="44" spans="2:7" ht="12" hidden="1">
      <c r="B44" s="163"/>
      <c r="G44" s="166"/>
    </row>
    <row r="45" spans="2:7" ht="12" hidden="1">
      <c r="B45" s="163"/>
      <c r="G45" s="166"/>
    </row>
    <row r="46" spans="2:10" ht="24" customHeight="1" hidden="1" thickBot="1">
      <c r="B46" s="367" t="s">
        <v>252</v>
      </c>
      <c r="C46" s="368"/>
      <c r="D46" s="368"/>
      <c r="E46" s="368"/>
      <c r="G46" s="369" t="e">
        <f>+G14+G20-G32-G43</f>
        <v>#REF!</v>
      </c>
      <c r="H46" s="369">
        <f>+H14+H20-H32-H43</f>
        <v>0</v>
      </c>
      <c r="I46" s="369"/>
      <c r="J46" s="370"/>
    </row>
    <row r="47" spans="2:7" ht="12" hidden="1">
      <c r="B47" s="163"/>
      <c r="G47" s="166"/>
    </row>
    <row r="48" spans="2:7" ht="12" hidden="1">
      <c r="B48" s="163"/>
      <c r="G48" s="166"/>
    </row>
    <row r="49" spans="2:7" ht="12.75">
      <c r="B49" s="163"/>
      <c r="G49" s="166"/>
    </row>
    <row r="50" spans="1:10" ht="20.25">
      <c r="A50" s="437" t="s">
        <v>408</v>
      </c>
      <c r="B50" s="437"/>
      <c r="C50" s="437"/>
      <c r="D50" s="437"/>
      <c r="E50" s="437"/>
      <c r="F50" s="437"/>
      <c r="G50" s="437"/>
      <c r="H50" s="437"/>
      <c r="I50" s="437"/>
      <c r="J50" s="437"/>
    </row>
    <row r="51" spans="1:10" ht="20.25" customHeight="1">
      <c r="A51" s="443" t="s">
        <v>409</v>
      </c>
      <c r="B51" s="443"/>
      <c r="C51" s="443"/>
      <c r="D51" s="443"/>
      <c r="E51" s="443"/>
      <c r="F51" s="443"/>
      <c r="G51" s="443"/>
      <c r="H51" s="443"/>
      <c r="I51" s="443"/>
      <c r="J51" s="443"/>
    </row>
    <row r="52" spans="1:10" ht="24" customHeight="1">
      <c r="A52" s="438" t="s">
        <v>410</v>
      </c>
      <c r="B52" s="438"/>
      <c r="C52" s="438"/>
      <c r="D52" s="438"/>
      <c r="E52" s="438"/>
      <c r="F52" s="438"/>
      <c r="G52" s="438"/>
      <c r="H52" s="438"/>
      <c r="I52" s="438"/>
      <c r="J52" s="438"/>
    </row>
    <row r="53" spans="1:10" ht="12.75">
      <c r="A53" s="439" t="s">
        <v>413</v>
      </c>
      <c r="B53" s="439"/>
      <c r="C53" s="439"/>
      <c r="D53" s="439"/>
      <c r="E53" s="439"/>
      <c r="F53" s="439"/>
      <c r="G53" s="439"/>
      <c r="H53" s="439"/>
      <c r="I53" s="439"/>
      <c r="J53" s="439"/>
    </row>
    <row r="54" spans="1:10" ht="12.75">
      <c r="A54" s="431" t="s">
        <v>411</v>
      </c>
      <c r="B54" s="431"/>
      <c r="C54" s="431"/>
      <c r="D54" s="431"/>
      <c r="E54" s="431"/>
      <c r="F54" s="431"/>
      <c r="G54" s="431"/>
      <c r="H54" s="431"/>
      <c r="I54" s="431"/>
      <c r="J54" s="431"/>
    </row>
    <row r="55" ht="12" hidden="1">
      <c r="H55" s="336"/>
    </row>
    <row r="56" spans="2:7" ht="12" hidden="1">
      <c r="B56" s="163"/>
      <c r="G56" s="166"/>
    </row>
    <row r="57" spans="2:7" ht="13.5" thickBot="1">
      <c r="B57" s="163"/>
      <c r="G57" s="166"/>
    </row>
    <row r="58" spans="1:10" ht="67.5" customHeight="1">
      <c r="A58" s="371"/>
      <c r="B58" s="372" t="s">
        <v>412</v>
      </c>
      <c r="C58" s="373" t="s">
        <v>414</v>
      </c>
      <c r="D58" s="374" t="s">
        <v>415</v>
      </c>
      <c r="E58" s="375" t="s">
        <v>416</v>
      </c>
      <c r="F58" s="284"/>
      <c r="G58" s="376" t="s">
        <v>417</v>
      </c>
      <c r="H58" s="377" t="s">
        <v>418</v>
      </c>
      <c r="I58" s="378" t="s">
        <v>419</v>
      </c>
      <c r="J58" s="284"/>
    </row>
    <row r="59" spans="1:10" ht="12.75">
      <c r="A59" s="379"/>
      <c r="B59" s="202"/>
      <c r="C59" s="179"/>
      <c r="D59" s="179"/>
      <c r="E59" s="210"/>
      <c r="G59" s="380"/>
      <c r="H59" s="246">
        <v>0</v>
      </c>
      <c r="I59" s="236"/>
      <c r="J59" s="246"/>
    </row>
    <row r="60" spans="1:10" ht="21" customHeight="1">
      <c r="A60" s="379"/>
      <c r="B60" s="381" t="s">
        <v>420</v>
      </c>
      <c r="C60" s="382"/>
      <c r="D60" s="382"/>
      <c r="E60" s="383"/>
      <c r="G60" s="384"/>
      <c r="H60" s="385"/>
      <c r="I60" s="386"/>
      <c r="J60" s="225"/>
    </row>
    <row r="61" spans="1:10" ht="12.75">
      <c r="A61" s="379">
        <v>1</v>
      </c>
      <c r="B61" s="222"/>
      <c r="C61" s="224"/>
      <c r="D61" s="224"/>
      <c r="E61" s="227"/>
      <c r="F61" s="225"/>
      <c r="G61" s="231"/>
      <c r="H61" s="224"/>
      <c r="I61" s="387">
        <f>G61+H61+D61</f>
        <v>0</v>
      </c>
      <c r="J61" s="388"/>
    </row>
    <row r="62" spans="1:10" ht="18" customHeight="1">
      <c r="A62" s="379">
        <v>2</v>
      </c>
      <c r="B62" s="222" t="s">
        <v>425</v>
      </c>
      <c r="C62" s="225">
        <v>40001</v>
      </c>
      <c r="D62" s="225">
        <f>525000/13-384</f>
        <v>40000.61538461538</v>
      </c>
      <c r="E62" s="243">
        <f>D62-C62</f>
        <v>-0.3846153846170637</v>
      </c>
      <c r="F62" s="225"/>
      <c r="G62" s="239"/>
      <c r="H62" s="224"/>
      <c r="I62" s="227"/>
      <c r="J62" s="225"/>
    </row>
    <row r="63" spans="1:10" ht="17.25" customHeight="1" thickBot="1">
      <c r="A63" s="379">
        <v>3</v>
      </c>
      <c r="B63" s="222" t="s">
        <v>426</v>
      </c>
      <c r="C63" s="245">
        <v>40000</v>
      </c>
      <c r="D63" s="245">
        <f>525000/13-385</f>
        <v>39999.61538461538</v>
      </c>
      <c r="E63" s="250">
        <f>D63-C63</f>
        <v>-0.3846153846170637</v>
      </c>
      <c r="F63" s="225"/>
      <c r="G63" s="253"/>
      <c r="H63" s="245"/>
      <c r="I63" s="250"/>
      <c r="J63" s="225"/>
    </row>
    <row r="64" spans="1:10" ht="12.75">
      <c r="A64" s="379">
        <v>8</v>
      </c>
      <c r="B64" s="256" t="s">
        <v>427</v>
      </c>
      <c r="C64" s="258">
        <f>SUM(C61:C63)</f>
        <v>80001</v>
      </c>
      <c r="D64" s="258">
        <f>D62+D63+1</f>
        <v>80001.23076923077</v>
      </c>
      <c r="E64" s="232">
        <f>C64-D64</f>
        <v>-0.23076923076587263</v>
      </c>
      <c r="F64" s="246"/>
      <c r="G64" s="389">
        <f>SUM(G61:G63)</f>
        <v>0</v>
      </c>
      <c r="H64" s="258">
        <f>SUM(H61:H63)</f>
        <v>0</v>
      </c>
      <c r="I64" s="232">
        <f>SUM(I61:I63)</f>
        <v>0</v>
      </c>
      <c r="J64" s="246"/>
    </row>
    <row r="65" spans="1:10" ht="12.75">
      <c r="A65" s="379"/>
      <c r="B65" s="222"/>
      <c r="C65" s="179"/>
      <c r="D65" s="179"/>
      <c r="E65" s="210"/>
      <c r="G65" s="231"/>
      <c r="H65" s="179"/>
      <c r="I65" s="227"/>
      <c r="J65" s="225"/>
    </row>
    <row r="66" spans="1:10" ht="24.75" customHeight="1" thickBot="1">
      <c r="A66" s="379">
        <v>9</v>
      </c>
      <c r="B66" s="390" t="s">
        <v>421</v>
      </c>
      <c r="C66" s="391">
        <f>C59+C64</f>
        <v>80001</v>
      </c>
      <c r="D66" s="391">
        <f>D59+D64</f>
        <v>80001.23076923077</v>
      </c>
      <c r="E66" s="392">
        <f>E59+E64</f>
        <v>-0.23076923076587263</v>
      </c>
      <c r="F66" s="246"/>
      <c r="G66" s="393"/>
      <c r="H66" s="391">
        <f>H64+G66</f>
        <v>0</v>
      </c>
      <c r="I66" s="394">
        <f>I64</f>
        <v>0</v>
      </c>
      <c r="J66" s="246"/>
    </row>
    <row r="67" spans="1:10" ht="13.5" thickTop="1">
      <c r="A67" s="379"/>
      <c r="B67" s="222"/>
      <c r="C67" s="179"/>
      <c r="D67" s="179"/>
      <c r="E67" s="210"/>
      <c r="G67" s="231"/>
      <c r="H67" s="179"/>
      <c r="I67" s="227"/>
      <c r="J67" s="225"/>
    </row>
    <row r="68" spans="1:10" ht="18" customHeight="1">
      <c r="A68" s="379"/>
      <c r="B68" s="395" t="s">
        <v>422</v>
      </c>
      <c r="C68" s="396"/>
      <c r="D68" s="396"/>
      <c r="E68" s="397"/>
      <c r="F68" s="164"/>
      <c r="G68" s="398"/>
      <c r="H68" s="396"/>
      <c r="I68" s="399"/>
      <c r="J68" s="225"/>
    </row>
    <row r="69" spans="1:12" ht="12.75">
      <c r="A69" s="379"/>
      <c r="B69" s="297" t="s">
        <v>428</v>
      </c>
      <c r="C69" s="224">
        <f>'[5]Obra Civil'!K21</f>
        <v>35491.18076923076</v>
      </c>
      <c r="D69" s="224">
        <v>43597.22</v>
      </c>
      <c r="E69" s="227">
        <f>D69-C69</f>
        <v>8106.039230769238</v>
      </c>
      <c r="F69" s="225"/>
      <c r="G69" s="231">
        <v>45350.45</v>
      </c>
      <c r="H69" s="224">
        <f>26693.45+697</f>
        <v>27390.45</v>
      </c>
      <c r="I69" s="227">
        <f>D69+G69+H69</f>
        <v>116338.12</v>
      </c>
      <c r="J69" s="225"/>
      <c r="L69" s="400">
        <f>I69/1.1</f>
        <v>105761.92727272726</v>
      </c>
    </row>
    <row r="70" spans="1:12" ht="12.75">
      <c r="A70" s="379"/>
      <c r="B70" s="297" t="s">
        <v>429</v>
      </c>
      <c r="C70" s="224">
        <f>'[5]Mobiliario'!K21</f>
        <v>29782.153846153848</v>
      </c>
      <c r="D70" s="224">
        <v>23147.22</v>
      </c>
      <c r="E70" s="227">
        <f>D70-C70</f>
        <v>-6634.933846153846</v>
      </c>
      <c r="F70" s="225"/>
      <c r="G70" s="231">
        <v>73041.72</v>
      </c>
      <c r="H70" s="225">
        <f>13577.3-5093.52</f>
        <v>8483.779999999999</v>
      </c>
      <c r="I70" s="227">
        <f>D70+G70+H70</f>
        <v>104672.72</v>
      </c>
      <c r="J70" s="225"/>
      <c r="L70" s="400">
        <f>I70/1.1</f>
        <v>95157.01818181817</v>
      </c>
    </row>
    <row r="71" spans="1:12" ht="12.75">
      <c r="A71" s="379"/>
      <c r="B71" s="297" t="s">
        <v>430</v>
      </c>
      <c r="C71" s="224">
        <f>'[5]Eqpo Computo'!I44</f>
        <v>7819.429999999999</v>
      </c>
      <c r="D71" s="224">
        <f>7404.07*1.1</f>
        <v>8144.477000000001</v>
      </c>
      <c r="E71" s="227">
        <f>D71-C71</f>
        <v>325.0470000000014</v>
      </c>
      <c r="F71" s="225"/>
      <c r="G71" s="231">
        <f>23049.76*1.1</f>
        <v>25354.736</v>
      </c>
      <c r="H71" s="225">
        <f>29980*1.1</f>
        <v>32978</v>
      </c>
      <c r="I71" s="227">
        <f>D71+G71+H71</f>
        <v>66477.213</v>
      </c>
      <c r="J71" s="225"/>
      <c r="L71" s="400">
        <f>I71/1.1</f>
        <v>60433.83</v>
      </c>
    </row>
    <row r="72" spans="1:12" ht="12.75">
      <c r="A72" s="379"/>
      <c r="B72" s="297" t="s">
        <v>431</v>
      </c>
      <c r="C72" s="224">
        <v>0</v>
      </c>
      <c r="D72" s="224">
        <v>0</v>
      </c>
      <c r="E72" s="227">
        <f>D72-C72</f>
        <v>0</v>
      </c>
      <c r="F72" s="225"/>
      <c r="G72" s="231">
        <v>0</v>
      </c>
      <c r="H72" s="225">
        <v>7000</v>
      </c>
      <c r="I72" s="227">
        <f>D72+G72+H72</f>
        <v>7000</v>
      </c>
      <c r="J72" s="225"/>
      <c r="L72" s="400">
        <f>I72/1.1</f>
        <v>6363.636363636363</v>
      </c>
    </row>
    <row r="73" spans="1:10" ht="12.75" hidden="1" thickBot="1">
      <c r="A73" s="379"/>
      <c r="B73" s="297"/>
      <c r="C73" s="245"/>
      <c r="D73" s="245"/>
      <c r="E73" s="250"/>
      <c r="F73" s="225"/>
      <c r="G73" s="253"/>
      <c r="H73" s="401"/>
      <c r="I73" s="402">
        <f>G73+H73</f>
        <v>0</v>
      </c>
      <c r="J73" s="403"/>
    </row>
    <row r="74" spans="1:12" ht="12.75">
      <c r="A74" s="379"/>
      <c r="B74" s="256" t="s">
        <v>432</v>
      </c>
      <c r="C74" s="246">
        <f>SUM(C69:C73)</f>
        <v>73092.7646153846</v>
      </c>
      <c r="D74" s="246">
        <f>SUM(D69:D73)</f>
        <v>74888.917</v>
      </c>
      <c r="E74" s="236">
        <f>SUM(E69:E73)</f>
        <v>1796.1523846153932</v>
      </c>
      <c r="F74" s="246"/>
      <c r="G74" s="380">
        <f>SUM(G69:G73)</f>
        <v>143746.906</v>
      </c>
      <c r="H74" s="246">
        <f>SUM(H69:H73)</f>
        <v>75852.23</v>
      </c>
      <c r="I74" s="236">
        <f>SUM(I69:I73)</f>
        <v>294488.053</v>
      </c>
      <c r="J74" s="246"/>
      <c r="L74" s="400">
        <f>I74/1.1</f>
        <v>267716.4118181818</v>
      </c>
    </row>
    <row r="75" spans="1:9" ht="12.75">
      <c r="A75" s="379"/>
      <c r="B75" s="297"/>
      <c r="C75" s="224"/>
      <c r="D75" s="224"/>
      <c r="E75" s="227"/>
      <c r="F75" s="225"/>
      <c r="G75" s="231"/>
      <c r="H75" s="224"/>
      <c r="I75" s="227"/>
    </row>
    <row r="76" spans="1:12" ht="24.75" customHeight="1">
      <c r="A76" s="379"/>
      <c r="B76" s="404" t="s">
        <v>423</v>
      </c>
      <c r="C76" s="405">
        <f>C74</f>
        <v>73092.7646153846</v>
      </c>
      <c r="D76" s="405">
        <f>D68+D74</f>
        <v>74888.917</v>
      </c>
      <c r="E76" s="406"/>
      <c r="F76" s="407"/>
      <c r="G76" s="408">
        <f>G74</f>
        <v>143746.906</v>
      </c>
      <c r="H76" s="405">
        <f>H74+G76</f>
        <v>219599.136</v>
      </c>
      <c r="I76" s="409">
        <f>I74</f>
        <v>294488.053</v>
      </c>
      <c r="J76" s="246"/>
      <c r="L76" s="400">
        <f>L74*1.1</f>
        <v>294488.053</v>
      </c>
    </row>
    <row r="77" spans="1:10" s="163" customFormat="1" ht="13.5" thickBot="1">
      <c r="A77" s="410"/>
      <c r="B77" s="202"/>
      <c r="C77" s="304"/>
      <c r="D77" s="304"/>
      <c r="E77" s="308"/>
      <c r="F77" s="246"/>
      <c r="G77" s="411"/>
      <c r="H77" s="304"/>
      <c r="I77" s="308"/>
      <c r="J77" s="246"/>
    </row>
    <row r="78" spans="1:10" ht="30" customHeight="1" thickBot="1" thickTop="1">
      <c r="A78" s="379">
        <v>23</v>
      </c>
      <c r="B78" s="412" t="s">
        <v>424</v>
      </c>
      <c r="C78" s="413">
        <f>C66-C74</f>
        <v>6908.2353846154</v>
      </c>
      <c r="D78" s="413">
        <f>D66-D74</f>
        <v>5112.313769230765</v>
      </c>
      <c r="E78" s="414"/>
      <c r="F78" s="415"/>
      <c r="G78" s="416"/>
      <c r="H78" s="413"/>
      <c r="I78" s="417"/>
      <c r="J78" s="370"/>
    </row>
    <row r="79" spans="1:9" ht="12.75" thickBot="1">
      <c r="A79" s="320"/>
      <c r="B79" s="320"/>
      <c r="C79" s="321"/>
      <c r="D79" s="321"/>
      <c r="E79" s="324"/>
      <c r="G79" s="320"/>
      <c r="H79" s="321"/>
      <c r="I79" s="324"/>
    </row>
    <row r="80" ht="12">
      <c r="L80" s="162">
        <f>294487.75</f>
        <v>294487.75</v>
      </c>
    </row>
    <row r="81" spans="2:12" ht="12">
      <c r="B81" s="327" t="s">
        <v>433</v>
      </c>
      <c r="L81" s="400">
        <f>L80-L76</f>
        <v>-0.3030000000144355</v>
      </c>
    </row>
    <row r="82" ht="12">
      <c r="B82" s="327" t="s">
        <v>434</v>
      </c>
    </row>
    <row r="83" ht="12">
      <c r="G83" s="166"/>
    </row>
    <row r="84" ht="12">
      <c r="B84" s="327"/>
    </row>
    <row r="85" spans="2:7" ht="12">
      <c r="B85" s="327" t="s">
        <v>435</v>
      </c>
      <c r="G85" s="166"/>
    </row>
    <row r="86" spans="2:7" ht="12">
      <c r="B86" s="162" t="s">
        <v>436</v>
      </c>
      <c r="G86" s="400"/>
    </row>
    <row r="88" ht="12">
      <c r="B88" s="162" t="s">
        <v>234</v>
      </c>
    </row>
    <row r="90" spans="2:7" ht="12">
      <c r="B90" s="333"/>
      <c r="G90" s="418"/>
    </row>
    <row r="92" ht="12">
      <c r="B92" s="162" t="s">
        <v>422</v>
      </c>
    </row>
    <row r="93" spans="2:3" ht="12">
      <c r="B93" s="162" t="s">
        <v>437</v>
      </c>
      <c r="C93" s="166">
        <f>619837.05-300+61953.63</f>
        <v>681490.68</v>
      </c>
    </row>
    <row r="94" spans="2:3" ht="12">
      <c r="B94" s="162" t="s">
        <v>438</v>
      </c>
      <c r="C94" s="166">
        <f>(4140.2*13)</f>
        <v>53822.6</v>
      </c>
    </row>
    <row r="95" spans="2:3" ht="12">
      <c r="B95" s="162" t="s">
        <v>439</v>
      </c>
      <c r="C95" s="166">
        <f>685.3*13</f>
        <v>8908.9</v>
      </c>
    </row>
    <row r="96" spans="2:3" ht="12">
      <c r="B96" s="162" t="s">
        <v>440</v>
      </c>
      <c r="C96" s="166">
        <f>109230</f>
        <v>109230</v>
      </c>
    </row>
    <row r="97" spans="2:3" ht="12">
      <c r="B97" s="162" t="s">
        <v>441</v>
      </c>
      <c r="C97" s="166">
        <f>8540.95*13</f>
        <v>111032.35</v>
      </c>
    </row>
    <row r="98" ht="12">
      <c r="C98" s="419">
        <f>SUM(C93:C97)</f>
        <v>964484.53</v>
      </c>
    </row>
    <row r="99" ht="12">
      <c r="C99" s="400"/>
    </row>
    <row r="100" ht="12">
      <c r="B100" s="162" t="s">
        <v>420</v>
      </c>
    </row>
    <row r="101" spans="2:3" ht="12">
      <c r="B101" s="162" t="s">
        <v>442</v>
      </c>
      <c r="C101" s="166">
        <v>1050000</v>
      </c>
    </row>
    <row r="103" spans="2:3" ht="12">
      <c r="B103" s="162" t="s">
        <v>443</v>
      </c>
      <c r="C103" s="400">
        <f>C101-C98</f>
        <v>85515.46999999997</v>
      </c>
    </row>
    <row r="105" spans="2:3" ht="12">
      <c r="B105" s="162" t="s">
        <v>444</v>
      </c>
      <c r="C105" s="418">
        <f>C78*13</f>
        <v>89807.0600000002</v>
      </c>
    </row>
  </sheetData>
  <sheetProtection/>
  <mergeCells count="9">
    <mergeCell ref="A52:J52"/>
    <mergeCell ref="A53:J53"/>
    <mergeCell ref="A54:J54"/>
    <mergeCell ref="B4:I4"/>
    <mergeCell ref="B6:I6"/>
    <mergeCell ref="B7:I7"/>
    <mergeCell ref="B8:I8"/>
    <mergeCell ref="A50:J50"/>
    <mergeCell ref="A51:J51"/>
  </mergeCells>
  <printOptions/>
  <pageMargins left="0.32" right="0.3" top="0.55" bottom="0.48" header="0.19" footer="0.19"/>
  <pageSetup fitToHeight="1" fitToWidth="1" horizontalDpi="600" verticalDpi="600" orientation="landscape" scale="85"/>
  <headerFooter alignWithMargins="0">
    <oddHeader xml:space="preserve">&amp;R </oddHeader>
    <oddFooter>&amp;R 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N28"/>
  <sheetViews>
    <sheetView workbookViewId="0" topLeftCell="A4">
      <selection activeCell="D25" sqref="D25"/>
    </sheetView>
  </sheetViews>
  <sheetFormatPr defaultColWidth="9.140625" defaultRowHeight="15"/>
  <cols>
    <col min="1" max="3" width="9.140625" style="0" customWidth="1"/>
    <col min="4" max="4" width="22.7109375" style="0" customWidth="1"/>
    <col min="5" max="5" width="14.28125" style="0" hidden="1" customWidth="1"/>
    <col min="6" max="6" width="15.28125" style="0" bestFit="1" customWidth="1"/>
    <col min="7" max="7" width="14.28125" style="0" hidden="1" customWidth="1"/>
    <col min="8" max="8" width="10.7109375" style="1" hidden="1" customWidth="1"/>
    <col min="9" max="9" width="9.28125" style="0" hidden="1" customWidth="1"/>
    <col min="10" max="10" width="14.28125" style="0" hidden="1" customWidth="1"/>
    <col min="11" max="11" width="10.421875" style="0" hidden="1" customWidth="1"/>
    <col min="12" max="12" width="10.140625" style="0" hidden="1" customWidth="1"/>
    <col min="13" max="13" width="11.421875" style="0" bestFit="1" customWidth="1"/>
    <col min="14" max="14" width="11.421875" style="0" hidden="1" customWidth="1"/>
  </cols>
  <sheetData>
    <row r="5" ht="13.5">
      <c r="A5" t="s">
        <v>270</v>
      </c>
    </row>
    <row r="7" spans="5:14" ht="15" thickBot="1">
      <c r="E7" s="449" t="s">
        <v>271</v>
      </c>
      <c r="F7" s="450"/>
      <c r="G7" s="450"/>
      <c r="H7" s="450"/>
      <c r="I7" s="450"/>
      <c r="J7" s="450"/>
      <c r="K7" s="450"/>
      <c r="L7" s="450"/>
      <c r="M7" s="450"/>
      <c r="N7" s="450"/>
    </row>
    <row r="8" spans="1:14" ht="23.25" customHeight="1" thickBot="1">
      <c r="A8" s="444" t="s">
        <v>272</v>
      </c>
      <c r="B8" s="445"/>
      <c r="C8" s="445"/>
      <c r="D8" s="446"/>
      <c r="E8" s="158" t="s">
        <v>15</v>
      </c>
      <c r="F8" s="159" t="s">
        <v>0</v>
      </c>
      <c r="G8" s="158" t="s">
        <v>1</v>
      </c>
      <c r="H8" s="160"/>
      <c r="I8" s="2" t="s">
        <v>143</v>
      </c>
      <c r="J8" s="3" t="s">
        <v>2</v>
      </c>
      <c r="K8" s="161"/>
      <c r="L8" s="161"/>
      <c r="M8" s="158" t="s">
        <v>145</v>
      </c>
      <c r="N8" s="158" t="s">
        <v>146</v>
      </c>
    </row>
    <row r="9" spans="1:7" ht="15" thickBot="1">
      <c r="A9" s="4"/>
      <c r="B9" s="5"/>
      <c r="C9" s="6"/>
      <c r="D9" s="7"/>
      <c r="E9" s="26"/>
      <c r="F9" s="8"/>
      <c r="G9" s="26"/>
    </row>
    <row r="10" spans="1:14" ht="19.5" customHeight="1" thickBot="1">
      <c r="A10" s="29">
        <v>2</v>
      </c>
      <c r="B10" s="30" t="s">
        <v>273</v>
      </c>
      <c r="C10" s="31"/>
      <c r="D10" s="32"/>
      <c r="E10" s="27">
        <v>30813.659999999996</v>
      </c>
      <c r="F10" s="9">
        <f>'[6]RESUMEN ARQ. ELIO'!F11</f>
        <v>38692.5</v>
      </c>
      <c r="G10" s="27">
        <v>33548.165</v>
      </c>
      <c r="I10" s="10">
        <v>19832.5</v>
      </c>
      <c r="J10" s="11">
        <f aca="true" t="shared" si="0" ref="J10:J18">F10-I10</f>
        <v>18860</v>
      </c>
      <c r="L10" t="s">
        <v>3</v>
      </c>
      <c r="M10" s="27"/>
      <c r="N10" s="27"/>
    </row>
    <row r="11" spans="1:14" ht="19.5" customHeight="1" thickBot="1">
      <c r="A11" s="29">
        <v>5</v>
      </c>
      <c r="B11" s="30" t="s">
        <v>274</v>
      </c>
      <c r="C11" s="33"/>
      <c r="D11" s="32"/>
      <c r="E11" s="27">
        <v>0</v>
      </c>
      <c r="F11" s="9">
        <f>'[6]RESUMEN ARQ. ELIO'!F12</f>
        <v>37600</v>
      </c>
      <c r="G11" s="27">
        <v>35536.3</v>
      </c>
      <c r="H11" s="12" t="s">
        <v>4</v>
      </c>
      <c r="I11" s="10">
        <v>0</v>
      </c>
      <c r="J11" s="11">
        <f t="shared" si="0"/>
        <v>37600</v>
      </c>
      <c r="L11" t="s">
        <v>5</v>
      </c>
      <c r="M11" s="27"/>
      <c r="N11" s="27"/>
    </row>
    <row r="12" spans="1:14" ht="19.5" customHeight="1" thickBot="1">
      <c r="A12" s="29">
        <v>6</v>
      </c>
      <c r="B12" s="30" t="s">
        <v>275</v>
      </c>
      <c r="C12" s="33"/>
      <c r="D12" s="34"/>
      <c r="E12" s="27">
        <v>238330.42099999997</v>
      </c>
      <c r="F12" s="9">
        <f>'[6]RESUMEN ARQ. ELIO'!F13</f>
        <v>265079.997</v>
      </c>
      <c r="G12" s="27">
        <v>237850.581</v>
      </c>
      <c r="H12" s="13"/>
      <c r="I12" s="10">
        <v>120008.63698999998</v>
      </c>
      <c r="J12" s="11">
        <f t="shared" si="0"/>
        <v>145071.36001</v>
      </c>
      <c r="L12" t="s">
        <v>6</v>
      </c>
      <c r="M12" s="27"/>
      <c r="N12" s="27"/>
    </row>
    <row r="13" spans="1:14" ht="19.5" customHeight="1" thickBot="1">
      <c r="A13" s="29">
        <v>7</v>
      </c>
      <c r="B13" s="30" t="s">
        <v>276</v>
      </c>
      <c r="C13" s="33"/>
      <c r="D13" s="34"/>
      <c r="E13" s="27">
        <v>164458.5</v>
      </c>
      <c r="F13" s="9">
        <f>'[6]RESUMEN ARQ. ELIO'!F14</f>
        <v>95008</v>
      </c>
      <c r="G13" s="27">
        <v>126052.38</v>
      </c>
      <c r="H13" s="13"/>
      <c r="I13" s="10">
        <v>48721.05679999999</v>
      </c>
      <c r="J13" s="11">
        <f t="shared" si="0"/>
        <v>46286.94320000001</v>
      </c>
      <c r="L13" t="s">
        <v>7</v>
      </c>
      <c r="M13" s="27"/>
      <c r="N13" s="27"/>
    </row>
    <row r="14" spans="1:14" ht="19.5" customHeight="1" thickBot="1">
      <c r="A14" s="29">
        <v>8</v>
      </c>
      <c r="B14" s="30" t="s">
        <v>277</v>
      </c>
      <c r="C14" s="33"/>
      <c r="D14" s="34"/>
      <c r="E14" s="27">
        <v>449437.426</v>
      </c>
      <c r="F14" s="9">
        <f>'[6]RESUMEN ARQ. ELIO'!F15</f>
        <v>429278.08178</v>
      </c>
      <c r="G14" s="28">
        <v>437064.35299999994</v>
      </c>
      <c r="H14" s="13"/>
      <c r="I14" s="10">
        <v>192970.795432</v>
      </c>
      <c r="J14" s="11">
        <f t="shared" si="0"/>
        <v>236307.286348</v>
      </c>
      <c r="L14" t="s">
        <v>8</v>
      </c>
      <c r="M14" s="28"/>
      <c r="N14" s="28"/>
    </row>
    <row r="15" spans="1:14" ht="19.5" customHeight="1" thickBot="1">
      <c r="A15" s="29">
        <v>10</v>
      </c>
      <c r="B15" s="30" t="s">
        <v>278</v>
      </c>
      <c r="C15" s="33"/>
      <c r="D15" s="34"/>
      <c r="E15" s="27">
        <v>70193.99</v>
      </c>
      <c r="F15" s="9">
        <f>'[6]RESUMEN ARQ. ELIO'!F16</f>
        <v>97731.5846</v>
      </c>
      <c r="G15" s="27">
        <v>73498.63</v>
      </c>
      <c r="H15" s="12" t="s">
        <v>9</v>
      </c>
      <c r="I15" s="10">
        <v>97334.3036</v>
      </c>
      <c r="J15" s="11">
        <f t="shared" si="0"/>
        <v>397.2810000000027</v>
      </c>
      <c r="L15" t="s">
        <v>10</v>
      </c>
      <c r="M15" s="27"/>
      <c r="N15" s="27"/>
    </row>
    <row r="16" spans="1:14" ht="19.5" customHeight="1" thickBot="1">
      <c r="A16" s="29">
        <v>11</v>
      </c>
      <c r="B16" s="30" t="s">
        <v>279</v>
      </c>
      <c r="C16" s="33"/>
      <c r="D16" s="34"/>
      <c r="E16" s="27">
        <v>0</v>
      </c>
      <c r="F16" s="27"/>
      <c r="G16" s="27">
        <f>'[6]resumen metric'!F23</f>
        <v>212125.45</v>
      </c>
      <c r="H16" s="12" t="s">
        <v>4</v>
      </c>
      <c r="I16" s="10">
        <v>131121.892</v>
      </c>
      <c r="J16" s="11">
        <f t="shared" si="0"/>
        <v>-131121.892</v>
      </c>
      <c r="L16" t="s">
        <v>11</v>
      </c>
      <c r="M16" s="9">
        <f>16738*12.5</f>
        <v>209225</v>
      </c>
      <c r="N16" s="27">
        <f>19954*12.5</f>
        <v>249425</v>
      </c>
    </row>
    <row r="17" spans="1:14" ht="19.5" customHeight="1" thickBot="1">
      <c r="A17" s="29">
        <v>12</v>
      </c>
      <c r="B17" s="30" t="s">
        <v>280</v>
      </c>
      <c r="C17" s="33"/>
      <c r="D17" s="34"/>
      <c r="E17" s="27">
        <v>92672.35800000001</v>
      </c>
      <c r="F17" s="9">
        <f>'[6]RESUMEN ARQ. ELIO'!F18</f>
        <v>44238.2</v>
      </c>
      <c r="G17" s="27">
        <v>57199.234</v>
      </c>
      <c r="I17" s="10">
        <v>48914.24895999999</v>
      </c>
      <c r="J17" s="11">
        <f t="shared" si="0"/>
        <v>-4676.048959999993</v>
      </c>
      <c r="M17" s="27"/>
      <c r="N17" s="27"/>
    </row>
    <row r="18" spans="1:14" ht="19.5" customHeight="1" thickBot="1">
      <c r="A18" s="29">
        <v>14</v>
      </c>
      <c r="B18" s="30" t="s">
        <v>281</v>
      </c>
      <c r="C18" s="33"/>
      <c r="D18" s="35"/>
      <c r="E18" s="27">
        <v>195046.73</v>
      </c>
      <c r="F18" s="9">
        <f>'[6]RESUMEN ARQ. ELIO'!F19</f>
        <v>129549.73999999999</v>
      </c>
      <c r="G18" s="27">
        <v>113192.47</v>
      </c>
      <c r="I18" s="10">
        <v>126996.63900000001</v>
      </c>
      <c r="J18" s="11">
        <f t="shared" si="0"/>
        <v>2553.1009999999806</v>
      </c>
      <c r="L18" t="s">
        <v>12</v>
      </c>
      <c r="M18" s="27"/>
      <c r="N18" s="27"/>
    </row>
    <row r="19" spans="1:14" ht="15" thickBot="1">
      <c r="A19" s="14"/>
      <c r="B19" s="15"/>
      <c r="C19" s="15"/>
      <c r="D19" s="16" t="s">
        <v>282</v>
      </c>
      <c r="E19" s="17">
        <v>1240953.085</v>
      </c>
      <c r="F19" s="17">
        <f>SUM(F10:F18)</f>
        <v>1137178.10338</v>
      </c>
      <c r="G19" s="17">
        <f>SUM(G10:G18)</f>
        <v>1326067.5629999998</v>
      </c>
      <c r="H19" s="17">
        <f aca="true" t="shared" si="1" ref="H19:N19">SUM(H10:H18)</f>
        <v>0</v>
      </c>
      <c r="I19" s="17">
        <f t="shared" si="1"/>
        <v>785900.072782</v>
      </c>
      <c r="J19" s="17">
        <f t="shared" si="1"/>
        <v>351278.030598</v>
      </c>
      <c r="K19" s="17">
        <f t="shared" si="1"/>
        <v>0</v>
      </c>
      <c r="L19" s="17">
        <f t="shared" si="1"/>
        <v>0</v>
      </c>
      <c r="M19" s="17">
        <f t="shared" si="1"/>
        <v>209225</v>
      </c>
      <c r="N19" s="17">
        <f t="shared" si="1"/>
        <v>249425</v>
      </c>
    </row>
    <row r="20" spans="1:14" ht="13.5">
      <c r="A20" s="13"/>
      <c r="B20" s="19"/>
      <c r="C20" s="20"/>
      <c r="D20" s="21" t="s">
        <v>283</v>
      </c>
      <c r="E20" s="22">
        <v>136504.83935</v>
      </c>
      <c r="F20" s="112">
        <f>F19*0.11</f>
        <v>125089.5913718</v>
      </c>
      <c r="G20" s="22">
        <f>G19*0.11</f>
        <v>145867.43193</v>
      </c>
      <c r="H20" s="22">
        <f aca="true" t="shared" si="2" ref="H20:N20">H19*0.11</f>
        <v>0</v>
      </c>
      <c r="I20" s="22">
        <f t="shared" si="2"/>
        <v>86449.00800602</v>
      </c>
      <c r="J20" s="22">
        <f t="shared" si="2"/>
        <v>38640.583365779996</v>
      </c>
      <c r="K20" s="22">
        <f t="shared" si="2"/>
        <v>0</v>
      </c>
      <c r="L20" s="22">
        <f t="shared" si="2"/>
        <v>0</v>
      </c>
      <c r="M20" s="112">
        <f t="shared" si="2"/>
        <v>23014.75</v>
      </c>
      <c r="N20" s="22">
        <f t="shared" si="2"/>
        <v>27436.75</v>
      </c>
    </row>
    <row r="21" spans="1:14" ht="15" customHeight="1">
      <c r="A21" s="13"/>
      <c r="B21" s="19"/>
      <c r="C21" s="447" t="s">
        <v>284</v>
      </c>
      <c r="D21" s="447"/>
      <c r="E21" s="22">
        <v>1377457.92435</v>
      </c>
      <c r="F21" s="112">
        <f>SUM(F19:F20)</f>
        <v>1262267.6947518</v>
      </c>
      <c r="G21" s="22">
        <f>SUM(G19:G20)</f>
        <v>1471934.9949299998</v>
      </c>
      <c r="H21" s="22">
        <f aca="true" t="shared" si="3" ref="H21:N21">SUM(H19:H20)</f>
        <v>0</v>
      </c>
      <c r="I21" s="22">
        <f t="shared" si="3"/>
        <v>872349.0807880199</v>
      </c>
      <c r="J21" s="22">
        <f t="shared" si="3"/>
        <v>389918.61396378</v>
      </c>
      <c r="K21" s="22">
        <f t="shared" si="3"/>
        <v>0</v>
      </c>
      <c r="L21" s="22">
        <f t="shared" si="3"/>
        <v>0</v>
      </c>
      <c r="M21" s="112">
        <f t="shared" si="3"/>
        <v>232239.75</v>
      </c>
      <c r="N21" s="22">
        <f t="shared" si="3"/>
        <v>276861.75</v>
      </c>
    </row>
    <row r="22" spans="3:14" ht="13.5">
      <c r="C22" s="447" t="s">
        <v>285</v>
      </c>
      <c r="D22" s="447"/>
      <c r="E22" s="18">
        <f>E21/12.5</f>
        <v>110196.633948</v>
      </c>
      <c r="F22" s="112">
        <f aca="true" t="shared" si="4" ref="F22:N22">F21/12.5</f>
        <v>100981.415580144</v>
      </c>
      <c r="G22" s="113">
        <f t="shared" si="4"/>
        <v>117754.79959439998</v>
      </c>
      <c r="H22" s="113">
        <f t="shared" si="4"/>
        <v>0</v>
      </c>
      <c r="I22" s="113">
        <f t="shared" si="4"/>
        <v>69787.9264630416</v>
      </c>
      <c r="J22" s="113">
        <f t="shared" si="4"/>
        <v>31193.4891171024</v>
      </c>
      <c r="K22" s="113">
        <f t="shared" si="4"/>
        <v>0</v>
      </c>
      <c r="L22" s="113">
        <f t="shared" si="4"/>
        <v>0</v>
      </c>
      <c r="M22" s="112">
        <f t="shared" si="4"/>
        <v>18579.18</v>
      </c>
      <c r="N22" s="113">
        <f t="shared" si="4"/>
        <v>22148.94</v>
      </c>
    </row>
    <row r="23" spans="2:8" ht="13.5" hidden="1">
      <c r="B23" s="23" t="s">
        <v>13</v>
      </c>
      <c r="C23" s="23"/>
      <c r="D23" s="23"/>
      <c r="E23" s="24">
        <f>E10+E12+E13+E14+E15+E17+E18</f>
        <v>1240953.085</v>
      </c>
      <c r="F23" s="24">
        <f>F10+F12+F13+F14+F15+F17+F18</f>
        <v>1099578.10338</v>
      </c>
      <c r="G23" s="24">
        <f>G10+G12+G13+G14+G15+G17+G18</f>
        <v>1078405.8129999998</v>
      </c>
      <c r="H23" s="25" t="e">
        <f>F23-#REF!</f>
        <v>#REF!</v>
      </c>
    </row>
    <row r="24" spans="2:8" ht="13.5">
      <c r="B24" s="23"/>
      <c r="C24" s="23"/>
      <c r="D24" s="23"/>
      <c r="E24" s="24"/>
      <c r="F24" s="24"/>
      <c r="G24" s="24"/>
      <c r="H24" s="25"/>
    </row>
    <row r="25" spans="4:7" ht="13.5">
      <c r="D25" t="s">
        <v>286</v>
      </c>
      <c r="F25" s="18">
        <f>(((F10+F11+F12+F13+F14+F15+M16+F17+F18)*1.11))/12.5</f>
        <v>119560.595580144</v>
      </c>
      <c r="G25" t="s">
        <v>147</v>
      </c>
    </row>
    <row r="26" spans="1:8" ht="57.75" customHeight="1" hidden="1">
      <c r="A26" s="448" t="s">
        <v>14</v>
      </c>
      <c r="B26" s="448"/>
      <c r="C26" s="448"/>
      <c r="D26" s="448"/>
      <c r="E26" s="448"/>
      <c r="F26" s="448"/>
      <c r="G26" s="448"/>
      <c r="H26" s="448"/>
    </row>
    <row r="28" ht="13.5">
      <c r="E28" s="155"/>
    </row>
  </sheetData>
  <sheetProtection/>
  <mergeCells count="5">
    <mergeCell ref="A8:D8"/>
    <mergeCell ref="C21:D21"/>
    <mergeCell ref="C22:D22"/>
    <mergeCell ref="A26:H26"/>
    <mergeCell ref="E7:N7"/>
  </mergeCells>
  <printOptions/>
  <pageMargins left="0.7" right="0.7" top="0.75" bottom="0.75" header="0.3" footer="0.3"/>
  <pageSetup fitToHeight="1" fitToWidth="1" horizontalDpi="600" verticalDpi="600" orientation="landscape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3"/>
  <sheetViews>
    <sheetView zoomScaleSheetLayoutView="100" workbookViewId="0" topLeftCell="A102">
      <selection activeCell="B126" sqref="B126"/>
    </sheetView>
  </sheetViews>
  <sheetFormatPr defaultColWidth="9.140625" defaultRowHeight="15"/>
  <cols>
    <col min="1" max="1" width="35.8515625" style="0" bestFit="1" customWidth="1"/>
    <col min="2" max="2" width="28.421875" style="0" bestFit="1" customWidth="1"/>
    <col min="3" max="3" width="9.28125" style="1" bestFit="1" customWidth="1"/>
    <col min="4" max="4" width="21.7109375" style="1" bestFit="1" customWidth="1"/>
    <col min="5" max="5" width="11.00390625" style="0" hidden="1" customWidth="1"/>
    <col min="6" max="6" width="17.421875" style="156" bestFit="1" customWidth="1"/>
    <col min="7" max="7" width="31.28125" style="1" hidden="1" customWidth="1"/>
    <col min="8" max="8" width="10.7109375" style="1" hidden="1" customWidth="1"/>
    <col min="9" max="9" width="10.140625" style="0" hidden="1" customWidth="1"/>
    <col min="10" max="10" width="15.421875" style="70" bestFit="1" customWidth="1"/>
    <col min="11" max="11" width="10.140625" style="70" hidden="1" customWidth="1"/>
    <col min="12" max="12" width="14.7109375" style="114" bestFit="1" customWidth="1"/>
    <col min="13" max="13" width="14.00390625" style="114" bestFit="1" customWidth="1"/>
    <col min="14" max="14" width="13.140625" style="114" customWidth="1"/>
    <col min="15" max="15" width="17.7109375" style="114" bestFit="1" customWidth="1"/>
    <col min="16" max="16" width="14.8515625" style="114" bestFit="1" customWidth="1"/>
    <col min="17" max="17" width="9.140625" style="0" customWidth="1"/>
    <col min="18" max="18" width="11.140625" style="0" bestFit="1" customWidth="1"/>
  </cols>
  <sheetData>
    <row r="1" spans="1:10" ht="13.5" hidden="1">
      <c r="A1" s="91"/>
      <c r="B1" s="91"/>
      <c r="C1" s="92"/>
      <c r="D1" s="92"/>
      <c r="E1" s="91"/>
      <c r="F1" s="92"/>
      <c r="G1" s="92"/>
      <c r="H1" s="92"/>
      <c r="I1" s="91"/>
      <c r="J1" s="91"/>
    </row>
    <row r="2" spans="1:10" ht="15" hidden="1" thickBot="1">
      <c r="A2" s="91"/>
      <c r="B2" s="91"/>
      <c r="C2" s="92"/>
      <c r="D2" s="92"/>
      <c r="E2" s="91"/>
      <c r="F2" s="92"/>
      <c r="G2" s="92"/>
      <c r="H2" s="92"/>
      <c r="I2" s="91"/>
      <c r="J2" s="91"/>
    </row>
    <row r="3" spans="1:16" ht="15.75" thickBot="1">
      <c r="A3" s="451" t="s">
        <v>288</v>
      </c>
      <c r="B3" s="452"/>
      <c r="C3" s="452"/>
      <c r="D3" s="452"/>
      <c r="E3" s="452"/>
      <c r="F3" s="452"/>
      <c r="G3" s="452"/>
      <c r="H3" s="452"/>
      <c r="I3" s="453"/>
      <c r="J3" s="454" t="s">
        <v>287</v>
      </c>
      <c r="K3" s="455"/>
      <c r="L3" s="455"/>
      <c r="M3" s="455"/>
      <c r="N3" s="455"/>
      <c r="O3" s="455"/>
      <c r="P3" s="456"/>
    </row>
    <row r="4" spans="1:16" ht="15" thickBot="1">
      <c r="A4" s="457" t="s">
        <v>290</v>
      </c>
      <c r="B4" s="458"/>
      <c r="C4" s="458"/>
      <c r="D4" s="458"/>
      <c r="E4" s="458"/>
      <c r="F4" s="458"/>
      <c r="G4" s="458"/>
      <c r="H4" s="458"/>
      <c r="I4" s="459"/>
      <c r="J4" s="157" t="s">
        <v>42</v>
      </c>
      <c r="K4" s="72"/>
      <c r="L4" s="115" t="s">
        <v>118</v>
      </c>
      <c r="M4" s="116" t="s">
        <v>119</v>
      </c>
      <c r="N4" s="116" t="s">
        <v>55</v>
      </c>
      <c r="O4" s="116" t="s">
        <v>120</v>
      </c>
      <c r="P4" s="116" t="s">
        <v>121</v>
      </c>
    </row>
    <row r="5" spans="1:16" ht="15" thickBot="1">
      <c r="A5" s="117" t="s">
        <v>289</v>
      </c>
      <c r="B5" s="117" t="s">
        <v>291</v>
      </c>
      <c r="C5" s="117" t="s">
        <v>292</v>
      </c>
      <c r="D5" s="117" t="s">
        <v>293</v>
      </c>
      <c r="E5" s="117" t="s">
        <v>35</v>
      </c>
      <c r="F5" s="117" t="s">
        <v>294</v>
      </c>
      <c r="G5" s="117" t="s">
        <v>36</v>
      </c>
      <c r="H5" s="117" t="s">
        <v>37</v>
      </c>
      <c r="I5" s="118" t="s">
        <v>122</v>
      </c>
      <c r="J5" s="118" t="s">
        <v>38</v>
      </c>
      <c r="K5" s="73" t="s">
        <v>38</v>
      </c>
      <c r="L5" s="119" t="s">
        <v>38</v>
      </c>
      <c r="M5" s="119" t="s">
        <v>38</v>
      </c>
      <c r="N5" s="119"/>
      <c r="O5" s="119"/>
      <c r="P5" s="119"/>
    </row>
    <row r="6" spans="1:16" ht="13.5">
      <c r="A6" s="120" t="s">
        <v>295</v>
      </c>
      <c r="B6" s="91"/>
      <c r="C6" s="97"/>
      <c r="D6" s="97"/>
      <c r="E6" s="87"/>
      <c r="F6" s="110"/>
      <c r="G6" s="87"/>
      <c r="H6" s="87"/>
      <c r="I6" s="87"/>
      <c r="J6" s="91"/>
      <c r="K6" s="75"/>
      <c r="L6" s="121"/>
      <c r="M6" s="121"/>
      <c r="N6" s="121"/>
      <c r="O6" s="121"/>
      <c r="P6" s="121"/>
    </row>
    <row r="7" spans="1:16" ht="13.5">
      <c r="A7" s="76" t="s">
        <v>296</v>
      </c>
      <c r="B7" s="76" t="s">
        <v>39</v>
      </c>
      <c r="C7" s="78">
        <v>12</v>
      </c>
      <c r="D7" s="78" t="s">
        <v>40</v>
      </c>
      <c r="E7" s="79"/>
      <c r="F7" s="105" t="s">
        <v>41</v>
      </c>
      <c r="G7" s="79"/>
      <c r="H7" s="79" t="s">
        <v>42</v>
      </c>
      <c r="I7" s="80">
        <v>2835.55</v>
      </c>
      <c r="J7" s="107"/>
      <c r="K7" s="66"/>
      <c r="L7" s="122">
        <v>33144</v>
      </c>
      <c r="M7" s="122"/>
      <c r="N7" s="122"/>
      <c r="O7" s="122"/>
      <c r="P7" s="122"/>
    </row>
    <row r="8" spans="1:16" ht="13.5">
      <c r="A8" s="76" t="s">
        <v>297</v>
      </c>
      <c r="B8" s="76" t="s">
        <v>361</v>
      </c>
      <c r="C8" s="78">
        <v>6</v>
      </c>
      <c r="D8" s="78" t="s">
        <v>43</v>
      </c>
      <c r="E8" s="79"/>
      <c r="F8" s="106" t="s">
        <v>44</v>
      </c>
      <c r="G8" s="79"/>
      <c r="H8" s="79" t="s">
        <v>42</v>
      </c>
      <c r="I8" s="80">
        <v>2677.69</v>
      </c>
      <c r="J8" s="107"/>
      <c r="K8" s="66"/>
      <c r="L8" s="122">
        <v>14892</v>
      </c>
      <c r="M8" s="122"/>
      <c r="N8" s="122"/>
      <c r="O8" s="122"/>
      <c r="P8" s="122"/>
    </row>
    <row r="9" spans="1:16" ht="13.5">
      <c r="A9" s="76" t="s">
        <v>298</v>
      </c>
      <c r="B9" s="76" t="s">
        <v>363</v>
      </c>
      <c r="C9" s="78">
        <v>1</v>
      </c>
      <c r="D9" s="78" t="s">
        <v>45</v>
      </c>
      <c r="E9" s="79"/>
      <c r="F9" s="106" t="s">
        <v>46</v>
      </c>
      <c r="G9" s="79"/>
      <c r="H9" s="79" t="s">
        <v>42</v>
      </c>
      <c r="I9" s="80">
        <f>650.92+3905.52+9651.96</f>
        <v>14208.399999999998</v>
      </c>
      <c r="J9" s="107"/>
      <c r="K9" s="66"/>
      <c r="L9" s="122">
        <v>18889</v>
      </c>
      <c r="M9" s="122"/>
      <c r="N9" s="122"/>
      <c r="O9" s="122"/>
      <c r="P9" s="122"/>
    </row>
    <row r="10" spans="1:16" s="74" customFormat="1" ht="13.5">
      <c r="A10" s="76" t="s">
        <v>299</v>
      </c>
      <c r="B10" s="76" t="s">
        <v>364</v>
      </c>
      <c r="C10" s="78">
        <v>6</v>
      </c>
      <c r="D10" s="78" t="s">
        <v>45</v>
      </c>
      <c r="E10" s="79"/>
      <c r="F10" s="106" t="s">
        <v>123</v>
      </c>
      <c r="G10" s="79"/>
      <c r="H10" s="79" t="s">
        <v>42</v>
      </c>
      <c r="I10" s="80">
        <v>4383.49</v>
      </c>
      <c r="J10" s="107"/>
      <c r="K10" s="66"/>
      <c r="L10" s="122"/>
      <c r="M10" s="122"/>
      <c r="N10" s="122"/>
      <c r="O10" s="122"/>
      <c r="P10" s="122"/>
    </row>
    <row r="11" spans="1:16" s="74" customFormat="1" ht="13.5">
      <c r="A11" s="76" t="s">
        <v>300</v>
      </c>
      <c r="B11" s="76" t="s">
        <v>398</v>
      </c>
      <c r="C11" s="78">
        <v>30</v>
      </c>
      <c r="D11" s="78" t="s">
        <v>45</v>
      </c>
      <c r="E11" s="79"/>
      <c r="F11" s="78" t="s">
        <v>47</v>
      </c>
      <c r="G11" s="81"/>
      <c r="H11" s="79" t="s">
        <v>42</v>
      </c>
      <c r="I11" s="80">
        <v>659.61</v>
      </c>
      <c r="J11" s="107">
        <f>I11*C11</f>
        <v>19788.3</v>
      </c>
      <c r="K11" s="66"/>
      <c r="L11" s="122"/>
      <c r="M11" s="122"/>
      <c r="N11" s="122"/>
      <c r="O11" s="122"/>
      <c r="P11" s="122"/>
    </row>
    <row r="12" spans="1:16" s="74" customFormat="1" ht="13.5">
      <c r="A12" s="76" t="s">
        <v>301</v>
      </c>
      <c r="B12" s="76" t="s">
        <v>365</v>
      </c>
      <c r="C12" s="78">
        <v>1</v>
      </c>
      <c r="D12" s="78" t="s">
        <v>45</v>
      </c>
      <c r="E12" s="79"/>
      <c r="F12" s="78" t="s">
        <v>48</v>
      </c>
      <c r="G12" s="81"/>
      <c r="H12" s="79" t="s">
        <v>42</v>
      </c>
      <c r="I12" s="80">
        <v>898.07</v>
      </c>
      <c r="J12" s="107">
        <f>I12*C12</f>
        <v>898.07</v>
      </c>
      <c r="K12" s="66"/>
      <c r="L12" s="122"/>
      <c r="M12" s="122"/>
      <c r="N12" s="122"/>
      <c r="O12" s="122"/>
      <c r="P12" s="122"/>
    </row>
    <row r="13" spans="1:16" s="74" customFormat="1" ht="12">
      <c r="A13" s="76" t="s">
        <v>302</v>
      </c>
      <c r="B13" s="76"/>
      <c r="C13" s="78">
        <v>1</v>
      </c>
      <c r="D13" s="78" t="s">
        <v>49</v>
      </c>
      <c r="E13" s="81"/>
      <c r="F13" s="78" t="s">
        <v>50</v>
      </c>
      <c r="G13" s="123" t="s">
        <v>144</v>
      </c>
      <c r="H13" s="79" t="s">
        <v>51</v>
      </c>
      <c r="I13" s="80">
        <f>969*1.15</f>
        <v>1114.35</v>
      </c>
      <c r="J13" s="107">
        <f>I13*C13</f>
        <v>1114.35</v>
      </c>
      <c r="K13" s="124"/>
      <c r="L13" s="122">
        <v>13929.374999999998</v>
      </c>
      <c r="M13" s="122"/>
      <c r="N13" s="122"/>
      <c r="O13" s="122"/>
      <c r="P13" s="122"/>
    </row>
    <row r="14" spans="1:16" s="74" customFormat="1" ht="12">
      <c r="A14" s="76" t="s">
        <v>298</v>
      </c>
      <c r="B14" s="76"/>
      <c r="C14" s="78"/>
      <c r="D14" s="78"/>
      <c r="E14" s="81"/>
      <c r="F14" s="78"/>
      <c r="G14" s="123"/>
      <c r="H14" s="79" t="s">
        <v>51</v>
      </c>
      <c r="I14" s="80">
        <f>650.92+3905.52+3846.4+9651.96</f>
        <v>18054.8</v>
      </c>
      <c r="J14" s="107"/>
      <c r="K14" s="124"/>
      <c r="L14" s="122"/>
      <c r="M14" s="122"/>
      <c r="N14" s="122"/>
      <c r="O14" s="122"/>
      <c r="P14" s="122"/>
    </row>
    <row r="15" spans="1:16" ht="13.5">
      <c r="A15" s="76" t="s">
        <v>302</v>
      </c>
      <c r="B15" s="76"/>
      <c r="C15" s="78">
        <v>1</v>
      </c>
      <c r="D15" s="78" t="s">
        <v>52</v>
      </c>
      <c r="E15" s="81"/>
      <c r="F15" s="78" t="s">
        <v>45</v>
      </c>
      <c r="G15" s="81"/>
      <c r="H15" s="79" t="s">
        <v>53</v>
      </c>
      <c r="I15" s="80">
        <f>969*1.15*12.5</f>
        <v>13929.374999999998</v>
      </c>
      <c r="J15" s="107"/>
      <c r="K15" s="124"/>
      <c r="L15" s="122"/>
      <c r="M15" s="122">
        <f>(642*1.11)*12.5</f>
        <v>8907.750000000002</v>
      </c>
      <c r="N15" s="122"/>
      <c r="O15" s="122"/>
      <c r="P15" s="122"/>
    </row>
    <row r="16" spans="1:16" s="71" customFormat="1" ht="12">
      <c r="A16" s="76" t="s">
        <v>303</v>
      </c>
      <c r="B16" s="76" t="s">
        <v>366</v>
      </c>
      <c r="C16" s="78">
        <v>1</v>
      </c>
      <c r="D16" s="78" t="s">
        <v>54</v>
      </c>
      <c r="E16" s="81"/>
      <c r="F16" s="78" t="s">
        <v>45</v>
      </c>
      <c r="G16" s="81"/>
      <c r="H16" s="81" t="s">
        <v>55</v>
      </c>
      <c r="I16" s="80">
        <v>2615</v>
      </c>
      <c r="J16" s="107"/>
      <c r="K16" s="124"/>
      <c r="L16" s="122"/>
      <c r="M16" s="122"/>
      <c r="N16" s="122">
        <v>2615</v>
      </c>
      <c r="O16" s="122"/>
      <c r="P16" s="122"/>
    </row>
    <row r="17" spans="1:16" s="71" customFormat="1" ht="12">
      <c r="A17" s="91"/>
      <c r="B17" s="91"/>
      <c r="C17" s="92"/>
      <c r="D17" s="92"/>
      <c r="E17" s="91"/>
      <c r="F17" s="92"/>
      <c r="G17" s="92"/>
      <c r="H17" s="92"/>
      <c r="I17" s="125" t="s">
        <v>56</v>
      </c>
      <c r="J17" s="125">
        <f>SUM(J7:J16)</f>
        <v>21800.719999999998</v>
      </c>
      <c r="K17" s="75"/>
      <c r="L17" s="121">
        <f>SUM(L7:L16)</f>
        <v>80854.375</v>
      </c>
      <c r="M17" s="121">
        <f>SUM(M7:M16)</f>
        <v>8907.750000000002</v>
      </c>
      <c r="N17" s="121">
        <f>SUM(N7:N16)</f>
        <v>2615</v>
      </c>
      <c r="O17" s="121"/>
      <c r="P17" s="121"/>
    </row>
    <row r="18" spans="1:16" ht="13.5">
      <c r="A18" s="126" t="s">
        <v>304</v>
      </c>
      <c r="B18" s="91"/>
      <c r="C18" s="92"/>
      <c r="D18" s="92"/>
      <c r="E18" s="84"/>
      <c r="F18" s="109"/>
      <c r="G18" s="84"/>
      <c r="H18" s="84"/>
      <c r="I18" s="85"/>
      <c r="J18" s="82"/>
      <c r="K18" s="86"/>
      <c r="L18" s="127"/>
      <c r="M18" s="127"/>
      <c r="N18" s="127"/>
      <c r="O18" s="127"/>
      <c r="P18" s="127"/>
    </row>
    <row r="19" spans="1:16" ht="13.5">
      <c r="A19" s="76" t="s">
        <v>296</v>
      </c>
      <c r="B19" s="76" t="s">
        <v>368</v>
      </c>
      <c r="C19" s="78">
        <v>10</v>
      </c>
      <c r="D19" s="78" t="s">
        <v>57</v>
      </c>
      <c r="E19" s="79"/>
      <c r="F19" s="105" t="s">
        <v>58</v>
      </c>
      <c r="G19" s="87"/>
      <c r="H19" s="79" t="s">
        <v>42</v>
      </c>
      <c r="I19" s="80">
        <v>4645.19</v>
      </c>
      <c r="J19" s="107"/>
      <c r="K19" s="128"/>
      <c r="L19" s="106">
        <v>46900</v>
      </c>
      <c r="M19" s="106"/>
      <c r="N19" s="106"/>
      <c r="O19" s="106"/>
      <c r="P19" s="106"/>
    </row>
    <row r="20" spans="1:16" ht="13.5">
      <c r="A20" s="76" t="s">
        <v>305</v>
      </c>
      <c r="B20" s="76" t="s">
        <v>362</v>
      </c>
      <c r="C20" s="78">
        <v>20</v>
      </c>
      <c r="D20" s="78" t="s">
        <v>59</v>
      </c>
      <c r="E20" s="79"/>
      <c r="F20" s="105" t="s">
        <v>60</v>
      </c>
      <c r="G20" s="87"/>
      <c r="H20" s="79" t="s">
        <v>42</v>
      </c>
      <c r="I20" s="80">
        <v>661.4</v>
      </c>
      <c r="J20" s="107"/>
      <c r="K20" s="129"/>
      <c r="L20" s="122">
        <v>12540</v>
      </c>
      <c r="M20" s="122"/>
      <c r="N20" s="122"/>
      <c r="O20" s="122"/>
      <c r="P20" s="122"/>
    </row>
    <row r="21" spans="1:16" ht="13.5">
      <c r="A21" s="76" t="s">
        <v>306</v>
      </c>
      <c r="B21" s="88" t="s">
        <v>45</v>
      </c>
      <c r="C21" s="78">
        <v>20</v>
      </c>
      <c r="D21" s="78"/>
      <c r="E21" s="79"/>
      <c r="F21" s="105" t="s">
        <v>61</v>
      </c>
      <c r="G21" s="87"/>
      <c r="H21" s="79" t="s">
        <v>42</v>
      </c>
      <c r="I21" s="80">
        <v>928.76</v>
      </c>
      <c r="J21" s="107"/>
      <c r="K21" s="128"/>
      <c r="L21" s="122">
        <v>18100</v>
      </c>
      <c r="M21" s="122"/>
      <c r="N21" s="122"/>
      <c r="O21" s="122"/>
      <c r="P21" s="122"/>
    </row>
    <row r="22" spans="1:16" s="71" customFormat="1" ht="13.5">
      <c r="A22" s="76" t="s">
        <v>300</v>
      </c>
      <c r="B22" s="76" t="s">
        <v>398</v>
      </c>
      <c r="C22" s="78">
        <v>20</v>
      </c>
      <c r="D22" s="78" t="s">
        <v>45</v>
      </c>
      <c r="E22" s="79"/>
      <c r="F22" s="78" t="s">
        <v>47</v>
      </c>
      <c r="G22" s="90"/>
      <c r="H22" s="79" t="s">
        <v>42</v>
      </c>
      <c r="I22" s="80">
        <v>659.61</v>
      </c>
      <c r="J22" s="107">
        <f>I22*C22</f>
        <v>13192.2</v>
      </c>
      <c r="K22" s="66"/>
      <c r="L22" s="122"/>
      <c r="M22" s="122"/>
      <c r="N22" s="122"/>
      <c r="O22" s="122"/>
      <c r="P22" s="122"/>
    </row>
    <row r="23" spans="1:16" s="71" customFormat="1" ht="13.5">
      <c r="A23" s="76" t="s">
        <v>302</v>
      </c>
      <c r="B23" s="76"/>
      <c r="C23" s="78">
        <v>1</v>
      </c>
      <c r="D23" s="78" t="s">
        <v>52</v>
      </c>
      <c r="E23" s="79"/>
      <c r="F23" s="78" t="s">
        <v>45</v>
      </c>
      <c r="G23" s="90"/>
      <c r="H23" s="79" t="s">
        <v>53</v>
      </c>
      <c r="I23" s="80">
        <f>969*1.15*12.5</f>
        <v>13929.374999999998</v>
      </c>
      <c r="J23" s="107"/>
      <c r="K23" s="66"/>
      <c r="L23" s="122">
        <v>13929.374999999998</v>
      </c>
      <c r="M23" s="122"/>
      <c r="N23" s="122"/>
      <c r="O23" s="122"/>
      <c r="P23" s="122"/>
    </row>
    <row r="24" spans="1:16" ht="13.5">
      <c r="A24" s="76" t="s">
        <v>301</v>
      </c>
      <c r="B24" s="76" t="s">
        <v>367</v>
      </c>
      <c r="C24" s="78">
        <v>1</v>
      </c>
      <c r="D24" s="78"/>
      <c r="E24" s="79"/>
      <c r="F24" s="78" t="s">
        <v>48</v>
      </c>
      <c r="G24" s="90"/>
      <c r="H24" s="79" t="s">
        <v>42</v>
      </c>
      <c r="I24" s="80">
        <v>898.07</v>
      </c>
      <c r="J24" s="107">
        <f>I24*C24</f>
        <v>898.07</v>
      </c>
      <c r="K24" s="66"/>
      <c r="L24" s="122"/>
      <c r="M24" s="122"/>
      <c r="N24" s="122"/>
      <c r="O24" s="122"/>
      <c r="P24" s="122"/>
    </row>
    <row r="25" spans="1:16" ht="13.5">
      <c r="A25" s="76" t="s">
        <v>303</v>
      </c>
      <c r="B25" s="76" t="s">
        <v>366</v>
      </c>
      <c r="C25" s="78">
        <v>1</v>
      </c>
      <c r="D25" s="78" t="s">
        <v>54</v>
      </c>
      <c r="E25" s="79"/>
      <c r="F25" s="78" t="s">
        <v>45</v>
      </c>
      <c r="G25" s="90"/>
      <c r="H25" s="79" t="s">
        <v>55</v>
      </c>
      <c r="I25" s="80">
        <v>2903</v>
      </c>
      <c r="J25" s="107"/>
      <c r="K25" s="66"/>
      <c r="L25" s="122"/>
      <c r="M25" s="122"/>
      <c r="N25" s="122">
        <v>2903</v>
      </c>
      <c r="O25" s="122"/>
      <c r="P25" s="122"/>
    </row>
    <row r="26" spans="1:16" ht="13.5">
      <c r="A26" s="91"/>
      <c r="B26" s="91"/>
      <c r="C26" s="92"/>
      <c r="D26" s="92"/>
      <c r="E26" s="84"/>
      <c r="F26" s="109"/>
      <c r="G26" s="84"/>
      <c r="H26" s="84"/>
      <c r="I26" s="125" t="s">
        <v>56</v>
      </c>
      <c r="J26" s="125">
        <f>SUM(J19:J25)</f>
        <v>14090.27</v>
      </c>
      <c r="K26" s="75"/>
      <c r="L26" s="121">
        <f>SUM(L19:L25)</f>
        <v>91469.375</v>
      </c>
      <c r="M26" s="121"/>
      <c r="N26" s="121">
        <f>SUM(N19:N25)</f>
        <v>2903</v>
      </c>
      <c r="O26" s="121"/>
      <c r="P26" s="121"/>
    </row>
    <row r="27" spans="1:16" ht="13.5">
      <c r="A27" s="130" t="s">
        <v>307</v>
      </c>
      <c r="B27" s="91"/>
      <c r="C27" s="92"/>
      <c r="D27" s="92"/>
      <c r="E27" s="84"/>
      <c r="F27" s="109"/>
      <c r="G27" s="84"/>
      <c r="H27" s="84"/>
      <c r="I27" s="85"/>
      <c r="J27" s="82"/>
      <c r="K27" s="94"/>
      <c r="L27" s="127"/>
      <c r="M27" s="127"/>
      <c r="N27" s="127"/>
      <c r="O27" s="127"/>
      <c r="P27" s="127"/>
    </row>
    <row r="28" spans="1:16" s="71" customFormat="1" ht="12">
      <c r="A28" s="76" t="s">
        <v>308</v>
      </c>
      <c r="B28" s="76" t="s">
        <v>39</v>
      </c>
      <c r="C28" s="78">
        <v>3</v>
      </c>
      <c r="D28" s="78" t="s">
        <v>62</v>
      </c>
      <c r="E28" s="79"/>
      <c r="F28" s="105" t="s">
        <v>63</v>
      </c>
      <c r="G28" s="87"/>
      <c r="H28" s="79" t="s">
        <v>42</v>
      </c>
      <c r="I28" s="80">
        <v>2554.86</v>
      </c>
      <c r="J28" s="107"/>
      <c r="K28" s="131"/>
      <c r="L28" s="106">
        <v>7692</v>
      </c>
      <c r="M28" s="106"/>
      <c r="N28" s="106"/>
      <c r="O28" s="106"/>
      <c r="P28" s="106"/>
    </row>
    <row r="29" spans="1:16" ht="13.5">
      <c r="A29" s="76" t="s">
        <v>308</v>
      </c>
      <c r="B29" s="76" t="s">
        <v>39</v>
      </c>
      <c r="C29" s="78">
        <v>1</v>
      </c>
      <c r="D29" s="78" t="s">
        <v>64</v>
      </c>
      <c r="E29" s="81"/>
      <c r="F29" s="78" t="s">
        <v>65</v>
      </c>
      <c r="G29" s="90"/>
      <c r="H29" s="79" t="s">
        <v>42</v>
      </c>
      <c r="I29" s="80">
        <v>2752.96</v>
      </c>
      <c r="J29" s="107"/>
      <c r="K29" s="132"/>
      <c r="L29" s="133">
        <v>2762</v>
      </c>
      <c r="M29" s="133"/>
      <c r="N29" s="133"/>
      <c r="O29" s="133"/>
      <c r="P29" s="133"/>
    </row>
    <row r="30" spans="1:16" ht="13.5">
      <c r="A30" s="76" t="s">
        <v>309</v>
      </c>
      <c r="B30" s="76" t="s">
        <v>39</v>
      </c>
      <c r="C30" s="78">
        <v>1</v>
      </c>
      <c r="D30" s="78" t="s">
        <v>66</v>
      </c>
      <c r="E30" s="81"/>
      <c r="F30" s="78" t="s">
        <v>67</v>
      </c>
      <c r="G30" s="90"/>
      <c r="H30" s="79" t="s">
        <v>42</v>
      </c>
      <c r="I30" s="80">
        <v>3176.49</v>
      </c>
      <c r="J30" s="107"/>
      <c r="K30" s="132"/>
      <c r="L30" s="133">
        <v>3188</v>
      </c>
      <c r="M30" s="133"/>
      <c r="N30" s="133"/>
      <c r="O30" s="133"/>
      <c r="P30" s="133"/>
    </row>
    <row r="31" spans="1:16" ht="13.5">
      <c r="A31" s="76" t="s">
        <v>299</v>
      </c>
      <c r="B31" s="76" t="s">
        <v>124</v>
      </c>
      <c r="C31" s="78">
        <v>1</v>
      </c>
      <c r="D31" s="78" t="s">
        <v>45</v>
      </c>
      <c r="E31" s="79"/>
      <c r="F31" s="106" t="s">
        <v>125</v>
      </c>
      <c r="G31" s="79"/>
      <c r="H31" s="79" t="s">
        <v>42</v>
      </c>
      <c r="I31" s="80">
        <v>3152.18</v>
      </c>
      <c r="J31" s="107"/>
      <c r="K31" s="132"/>
      <c r="L31" s="122"/>
      <c r="M31" s="133"/>
      <c r="N31" s="133"/>
      <c r="O31" s="133"/>
      <c r="P31" s="133"/>
    </row>
    <row r="32" spans="1:16" ht="13.5">
      <c r="A32" s="76" t="s">
        <v>299</v>
      </c>
      <c r="B32" s="76" t="s">
        <v>126</v>
      </c>
      <c r="C32" s="78">
        <v>1</v>
      </c>
      <c r="D32" s="78" t="s">
        <v>45</v>
      </c>
      <c r="E32" s="79"/>
      <c r="F32" s="106" t="s">
        <v>123</v>
      </c>
      <c r="G32" s="79"/>
      <c r="H32" s="79" t="s">
        <v>42</v>
      </c>
      <c r="I32" s="80">
        <v>4383.49</v>
      </c>
      <c r="J32" s="107"/>
      <c r="K32" s="132"/>
      <c r="L32" s="133"/>
      <c r="M32" s="133"/>
      <c r="N32" s="133"/>
      <c r="O32" s="133"/>
      <c r="P32" s="133"/>
    </row>
    <row r="33" spans="1:16" s="71" customFormat="1" ht="13.5">
      <c r="A33" s="76" t="s">
        <v>306</v>
      </c>
      <c r="B33" s="88" t="s">
        <v>45</v>
      </c>
      <c r="C33" s="78">
        <v>4</v>
      </c>
      <c r="D33" s="78" t="s">
        <v>45</v>
      </c>
      <c r="E33" s="79"/>
      <c r="F33" s="105" t="s">
        <v>61</v>
      </c>
      <c r="G33" s="87"/>
      <c r="H33" s="79" t="s">
        <v>42</v>
      </c>
      <c r="I33" s="80">
        <v>928.76</v>
      </c>
      <c r="J33" s="107"/>
      <c r="K33" s="132"/>
      <c r="L33" s="133">
        <v>3620</v>
      </c>
      <c r="M33" s="133"/>
      <c r="N33" s="133"/>
      <c r="O33" s="133"/>
      <c r="P33" s="133"/>
    </row>
    <row r="34" spans="1:16" ht="13.5">
      <c r="A34" s="76" t="s">
        <v>305</v>
      </c>
      <c r="B34" s="76" t="s">
        <v>369</v>
      </c>
      <c r="C34" s="78">
        <v>4</v>
      </c>
      <c r="D34" s="78" t="s">
        <v>59</v>
      </c>
      <c r="E34" s="79"/>
      <c r="F34" s="105" t="s">
        <v>60</v>
      </c>
      <c r="G34" s="87"/>
      <c r="H34" s="79" t="s">
        <v>42</v>
      </c>
      <c r="I34" s="80">
        <v>661.4</v>
      </c>
      <c r="J34" s="107"/>
      <c r="K34" s="132"/>
      <c r="L34" s="133">
        <v>2508</v>
      </c>
      <c r="M34" s="133"/>
      <c r="N34" s="133"/>
      <c r="O34" s="133"/>
      <c r="P34" s="133"/>
    </row>
    <row r="35" spans="1:16" ht="13.5">
      <c r="A35" s="76" t="s">
        <v>319</v>
      </c>
      <c r="B35" s="76" t="s">
        <v>370</v>
      </c>
      <c r="C35" s="78">
        <v>4</v>
      </c>
      <c r="D35" s="78"/>
      <c r="E35" s="81"/>
      <c r="F35" s="78" t="s">
        <v>68</v>
      </c>
      <c r="G35" s="90"/>
      <c r="H35" s="79" t="s">
        <v>42</v>
      </c>
      <c r="I35" s="80">
        <v>1266.5</v>
      </c>
      <c r="J35" s="107"/>
      <c r="K35" s="132"/>
      <c r="L35" s="133">
        <v>5200</v>
      </c>
      <c r="M35" s="133"/>
      <c r="N35" s="133"/>
      <c r="O35" s="133"/>
      <c r="P35" s="133"/>
    </row>
    <row r="36" spans="1:16" ht="13.5">
      <c r="A36" s="96"/>
      <c r="B36" s="96"/>
      <c r="C36" s="97"/>
      <c r="D36" s="97"/>
      <c r="E36" s="87"/>
      <c r="F36" s="97"/>
      <c r="G36" s="90"/>
      <c r="H36" s="90"/>
      <c r="I36" s="125" t="s">
        <v>56</v>
      </c>
      <c r="J36" s="125">
        <f>SUM(J28:J35)</f>
        <v>0</v>
      </c>
      <c r="K36" s="75"/>
      <c r="L36" s="121">
        <f>SUM(L28:L35)</f>
        <v>24970</v>
      </c>
      <c r="M36" s="121"/>
      <c r="N36" s="121"/>
      <c r="O36" s="121"/>
      <c r="P36" s="121"/>
    </row>
    <row r="37" spans="1:16" ht="13.5">
      <c r="A37" s="130" t="s">
        <v>310</v>
      </c>
      <c r="B37" s="91"/>
      <c r="C37" s="92"/>
      <c r="D37" s="92"/>
      <c r="E37" s="84"/>
      <c r="F37" s="92"/>
      <c r="G37" s="84"/>
      <c r="H37" s="84"/>
      <c r="I37" s="82"/>
      <c r="J37" s="108"/>
      <c r="K37"/>
      <c r="L37" s="134"/>
      <c r="M37" s="135"/>
      <c r="N37" s="135"/>
      <c r="O37" s="135"/>
      <c r="P37" s="135"/>
    </row>
    <row r="38" spans="1:16" s="71" customFormat="1" ht="12">
      <c r="A38" s="136" t="s">
        <v>311</v>
      </c>
      <c r="B38" s="137" t="s">
        <v>69</v>
      </c>
      <c r="C38" s="98">
        <v>10</v>
      </c>
      <c r="D38" s="98" t="s">
        <v>70</v>
      </c>
      <c r="E38" s="99"/>
      <c r="F38" s="106" t="s">
        <v>71</v>
      </c>
      <c r="G38" s="87"/>
      <c r="H38" s="99" t="s">
        <v>42</v>
      </c>
      <c r="I38" s="100">
        <v>1584.14</v>
      </c>
      <c r="J38" s="107">
        <f>C38*I38</f>
        <v>15841.400000000001</v>
      </c>
      <c r="K38" s="138"/>
      <c r="L38" s="106"/>
      <c r="M38" s="133"/>
      <c r="N38" s="133"/>
      <c r="O38" s="133"/>
      <c r="P38" s="133"/>
    </row>
    <row r="39" spans="1:16" ht="13.5">
      <c r="A39" s="76" t="s">
        <v>312</v>
      </c>
      <c r="B39" s="76" t="s">
        <v>72</v>
      </c>
      <c r="C39" s="78">
        <v>4</v>
      </c>
      <c r="D39" s="78" t="s">
        <v>73</v>
      </c>
      <c r="E39" s="76"/>
      <c r="F39" s="78" t="s">
        <v>74</v>
      </c>
      <c r="G39" s="101"/>
      <c r="H39" s="101" t="s">
        <v>42</v>
      </c>
      <c r="I39" s="102">
        <v>2241.05</v>
      </c>
      <c r="J39" s="107">
        <f>C39*I39</f>
        <v>8964.2</v>
      </c>
      <c r="K39" s="138"/>
      <c r="L39" s="122"/>
      <c r="M39" s="139"/>
      <c r="N39" s="139"/>
      <c r="O39" s="139"/>
      <c r="P39" s="139"/>
    </row>
    <row r="40" spans="1:16" ht="13.5">
      <c r="A40" s="76" t="s">
        <v>313</v>
      </c>
      <c r="B40" s="140" t="s">
        <v>69</v>
      </c>
      <c r="C40" s="78">
        <v>4</v>
      </c>
      <c r="D40" s="78" t="s">
        <v>75</v>
      </c>
      <c r="E40" s="79"/>
      <c r="F40" s="106" t="s">
        <v>76</v>
      </c>
      <c r="G40" s="79"/>
      <c r="H40" s="79" t="s">
        <v>42</v>
      </c>
      <c r="I40" s="103">
        <v>1550.69</v>
      </c>
      <c r="J40" s="107">
        <f>C40*I40</f>
        <v>6202.76</v>
      </c>
      <c r="K40" s="138"/>
      <c r="L40" s="106"/>
      <c r="M40" s="139"/>
      <c r="N40" s="139"/>
      <c r="O40" s="139"/>
      <c r="P40" s="139"/>
    </row>
    <row r="41" spans="1:16" ht="13.5">
      <c r="A41" s="76" t="s">
        <v>314</v>
      </c>
      <c r="B41" s="140" t="s">
        <v>77</v>
      </c>
      <c r="C41" s="78">
        <v>1</v>
      </c>
      <c r="D41" s="78" t="s">
        <v>45</v>
      </c>
      <c r="E41" s="79"/>
      <c r="F41" s="106" t="s">
        <v>46</v>
      </c>
      <c r="G41" s="79"/>
      <c r="H41" s="79" t="s">
        <v>42</v>
      </c>
      <c r="I41" s="103">
        <f>333.27+1632.4+10.12+2828.9+15.18</f>
        <v>4819.870000000001</v>
      </c>
      <c r="J41" s="107">
        <f>C41*I41</f>
        <v>4819.870000000001</v>
      </c>
      <c r="K41" s="138"/>
      <c r="L41" s="106"/>
      <c r="M41" s="139"/>
      <c r="N41" s="139"/>
      <c r="O41" s="139"/>
      <c r="P41" s="139"/>
    </row>
    <row r="42" spans="1:16" ht="13.5">
      <c r="A42" s="76" t="s">
        <v>300</v>
      </c>
      <c r="B42" s="76" t="s">
        <v>398</v>
      </c>
      <c r="C42" s="78">
        <v>4</v>
      </c>
      <c r="D42" s="78" t="s">
        <v>45</v>
      </c>
      <c r="E42" s="79"/>
      <c r="F42" s="78" t="s">
        <v>47</v>
      </c>
      <c r="G42" s="90"/>
      <c r="H42" s="79" t="s">
        <v>42</v>
      </c>
      <c r="I42" s="80">
        <v>659.61</v>
      </c>
      <c r="J42" s="107">
        <f>C42*I42</f>
        <v>2638.44</v>
      </c>
      <c r="K42" s="131"/>
      <c r="L42" s="106"/>
      <c r="M42" s="139"/>
      <c r="N42" s="139"/>
      <c r="O42" s="139"/>
      <c r="P42" s="139"/>
    </row>
    <row r="43" spans="1:16" s="71" customFormat="1" ht="12">
      <c r="A43" s="96"/>
      <c r="B43" s="96"/>
      <c r="C43" s="97"/>
      <c r="D43" s="97"/>
      <c r="E43" s="87"/>
      <c r="F43" s="97"/>
      <c r="G43" s="90"/>
      <c r="H43" s="90"/>
      <c r="I43" s="125" t="s">
        <v>56</v>
      </c>
      <c r="J43" s="125">
        <f>SUM(J38:J42)</f>
        <v>38466.670000000006</v>
      </c>
      <c r="K43" s="75"/>
      <c r="L43" s="121"/>
      <c r="M43" s="121"/>
      <c r="N43" s="121"/>
      <c r="O43" s="121"/>
      <c r="P43" s="121"/>
    </row>
    <row r="44" spans="1:16" ht="13.5">
      <c r="A44" s="130" t="s">
        <v>315</v>
      </c>
      <c r="B44" s="91"/>
      <c r="C44" s="92"/>
      <c r="D44" s="92"/>
      <c r="E44" s="84"/>
      <c r="F44" s="109"/>
      <c r="G44" s="84"/>
      <c r="H44" s="84"/>
      <c r="I44" s="82"/>
      <c r="J44" s="108"/>
      <c r="K44" s="95"/>
      <c r="L44" s="134"/>
      <c r="M44" s="134"/>
      <c r="N44" s="134"/>
      <c r="O44" s="134"/>
      <c r="P44" s="134"/>
    </row>
    <row r="45" spans="1:16" ht="13.5">
      <c r="A45" s="76" t="s">
        <v>316</v>
      </c>
      <c r="B45" s="140" t="s">
        <v>69</v>
      </c>
      <c r="C45" s="78">
        <v>1</v>
      </c>
      <c r="D45" s="78" t="s">
        <v>127</v>
      </c>
      <c r="E45" s="106"/>
      <c r="F45" s="106" t="s">
        <v>128</v>
      </c>
      <c r="G45" s="87"/>
      <c r="H45" s="79" t="s">
        <v>42</v>
      </c>
      <c r="I45" s="141">
        <v>21826.11</v>
      </c>
      <c r="J45" s="107"/>
      <c r="K45" s="132"/>
      <c r="L45" s="133">
        <v>1720</v>
      </c>
      <c r="M45" s="133"/>
      <c r="N45" s="133"/>
      <c r="O45" s="133"/>
      <c r="P45" s="133"/>
    </row>
    <row r="46" spans="1:16" ht="13.5">
      <c r="A46" s="76" t="s">
        <v>316</v>
      </c>
      <c r="B46" s="140" t="s">
        <v>69</v>
      </c>
      <c r="C46" s="78">
        <v>1</v>
      </c>
      <c r="D46" s="78" t="s">
        <v>129</v>
      </c>
      <c r="E46" s="106"/>
      <c r="F46" s="106" t="s">
        <v>130</v>
      </c>
      <c r="G46" s="87"/>
      <c r="H46" s="79" t="s">
        <v>42</v>
      </c>
      <c r="I46" s="141"/>
      <c r="J46" s="107"/>
      <c r="K46" s="132"/>
      <c r="L46" s="133">
        <v>1814</v>
      </c>
      <c r="M46" s="133"/>
      <c r="N46" s="133"/>
      <c r="O46" s="133"/>
      <c r="P46" s="133"/>
    </row>
    <row r="47" spans="1:16" ht="13.5">
      <c r="A47" s="76" t="s">
        <v>313</v>
      </c>
      <c r="B47" s="140" t="s">
        <v>69</v>
      </c>
      <c r="C47" s="78">
        <v>1</v>
      </c>
      <c r="D47" s="78" t="s">
        <v>131</v>
      </c>
      <c r="E47" s="106"/>
      <c r="F47" s="106" t="s">
        <v>132</v>
      </c>
      <c r="G47" s="90"/>
      <c r="H47" s="79" t="s">
        <v>42</v>
      </c>
      <c r="I47" s="141">
        <v>1266.5</v>
      </c>
      <c r="J47" s="107"/>
      <c r="K47" s="132"/>
      <c r="L47" s="133">
        <v>2103</v>
      </c>
      <c r="M47" s="133"/>
      <c r="N47" s="133"/>
      <c r="O47" s="133"/>
      <c r="P47" s="133"/>
    </row>
    <row r="48" spans="1:16" s="71" customFormat="1" ht="13.5">
      <c r="A48" s="76" t="s">
        <v>313</v>
      </c>
      <c r="B48" s="140" t="s">
        <v>69</v>
      </c>
      <c r="C48" s="78">
        <v>1</v>
      </c>
      <c r="D48" s="78" t="s">
        <v>133</v>
      </c>
      <c r="E48" s="106"/>
      <c r="F48" s="106" t="s">
        <v>134</v>
      </c>
      <c r="G48" s="87"/>
      <c r="H48" s="79" t="s">
        <v>42</v>
      </c>
      <c r="I48" s="141">
        <v>928.76</v>
      </c>
      <c r="J48" s="107"/>
      <c r="K48" s="132"/>
      <c r="L48" s="133">
        <v>2631</v>
      </c>
      <c r="M48" s="133"/>
      <c r="N48" s="133"/>
      <c r="O48" s="133"/>
      <c r="P48" s="133"/>
    </row>
    <row r="49" spans="1:16" ht="13.5">
      <c r="A49" s="76" t="s">
        <v>317</v>
      </c>
      <c r="B49" s="140" t="s">
        <v>69</v>
      </c>
      <c r="C49" s="78">
        <v>1</v>
      </c>
      <c r="D49" s="78" t="s">
        <v>135</v>
      </c>
      <c r="E49" s="106"/>
      <c r="F49" s="106" t="s">
        <v>136</v>
      </c>
      <c r="G49" s="87"/>
      <c r="H49" s="79" t="s">
        <v>42</v>
      </c>
      <c r="I49" s="141">
        <v>661.4</v>
      </c>
      <c r="J49" s="107"/>
      <c r="K49" s="132"/>
      <c r="L49" s="133">
        <v>3549</v>
      </c>
      <c r="M49" s="133"/>
      <c r="N49" s="133"/>
      <c r="O49" s="133"/>
      <c r="P49" s="133"/>
    </row>
    <row r="50" spans="1:16" ht="13.5">
      <c r="A50" s="76" t="s">
        <v>317</v>
      </c>
      <c r="B50" s="140" t="s">
        <v>69</v>
      </c>
      <c r="C50" s="78">
        <v>1</v>
      </c>
      <c r="D50" s="78" t="s">
        <v>137</v>
      </c>
      <c r="E50" s="106"/>
      <c r="F50" s="106" t="s">
        <v>138</v>
      </c>
      <c r="J50" s="69"/>
      <c r="K50" s="132"/>
      <c r="L50" s="133">
        <v>3144</v>
      </c>
      <c r="M50" s="133"/>
      <c r="N50" s="133"/>
      <c r="O50" s="133"/>
      <c r="P50" s="133"/>
    </row>
    <row r="51" spans="1:16" ht="13.5">
      <c r="A51" s="76" t="s">
        <v>317</v>
      </c>
      <c r="B51" s="140" t="s">
        <v>69</v>
      </c>
      <c r="C51" s="78">
        <v>2</v>
      </c>
      <c r="D51" s="78" t="s">
        <v>139</v>
      </c>
      <c r="E51" s="106"/>
      <c r="F51" s="106" t="s">
        <v>140</v>
      </c>
      <c r="G51" s="90"/>
      <c r="H51" s="79" t="s">
        <v>53</v>
      </c>
      <c r="I51" s="141">
        <f>(1325*12.5)*1.08</f>
        <v>17887.5</v>
      </c>
      <c r="J51" s="107"/>
      <c r="K51" s="132"/>
      <c r="L51" s="133">
        <v>4770</v>
      </c>
      <c r="M51" s="133"/>
      <c r="N51" s="133"/>
      <c r="O51" s="133"/>
      <c r="P51" s="133"/>
    </row>
    <row r="52" spans="1:16" ht="13.5">
      <c r="A52" s="76" t="s">
        <v>318</v>
      </c>
      <c r="B52" s="140" t="s">
        <v>77</v>
      </c>
      <c r="C52" s="78">
        <v>1</v>
      </c>
      <c r="D52" s="78" t="s">
        <v>45</v>
      </c>
      <c r="E52" s="106"/>
      <c r="F52" s="106" t="s">
        <v>45</v>
      </c>
      <c r="G52" s="90"/>
      <c r="H52" s="87"/>
      <c r="I52" s="142"/>
      <c r="J52" s="107"/>
      <c r="K52" s="132"/>
      <c r="L52" s="133">
        <v>2023</v>
      </c>
      <c r="M52" s="133"/>
      <c r="N52" s="133"/>
      <c r="O52" s="133"/>
      <c r="P52" s="133"/>
    </row>
    <row r="53" spans="1:16" ht="13.5">
      <c r="A53" s="143" t="s">
        <v>319</v>
      </c>
      <c r="B53" s="143" t="s">
        <v>371</v>
      </c>
      <c r="C53" s="144">
        <v>1</v>
      </c>
      <c r="D53" s="144"/>
      <c r="E53" s="145"/>
      <c r="F53" s="144" t="s">
        <v>68</v>
      </c>
      <c r="G53" s="90"/>
      <c r="H53" s="87"/>
      <c r="I53" s="146"/>
      <c r="J53" s="107"/>
      <c r="K53" s="132"/>
      <c r="L53" s="133">
        <v>1300</v>
      </c>
      <c r="M53" s="133"/>
      <c r="N53" s="133"/>
      <c r="O53" s="133"/>
      <c r="P53" s="133"/>
    </row>
    <row r="54" spans="1:16" ht="13.5">
      <c r="A54" s="143" t="s">
        <v>306</v>
      </c>
      <c r="B54" s="143"/>
      <c r="C54" s="144">
        <v>1</v>
      </c>
      <c r="D54" s="144" t="s">
        <v>45</v>
      </c>
      <c r="E54" s="145"/>
      <c r="F54" s="144"/>
      <c r="G54" s="90"/>
      <c r="H54" s="87"/>
      <c r="I54" s="146"/>
      <c r="J54" s="107"/>
      <c r="K54" s="132"/>
      <c r="L54" s="139">
        <v>905</v>
      </c>
      <c r="M54" s="133"/>
      <c r="N54" s="133"/>
      <c r="O54" s="133"/>
      <c r="P54" s="133"/>
    </row>
    <row r="55" spans="1:16" ht="13.5">
      <c r="A55" s="76" t="s">
        <v>320</v>
      </c>
      <c r="B55" s="76" t="s">
        <v>372</v>
      </c>
      <c r="C55" s="78">
        <v>1</v>
      </c>
      <c r="D55" s="78" t="s">
        <v>59</v>
      </c>
      <c r="E55" s="106"/>
      <c r="F55" s="105" t="s">
        <v>60</v>
      </c>
      <c r="G55" s="90"/>
      <c r="H55" s="87"/>
      <c r="I55" s="146"/>
      <c r="J55" s="107"/>
      <c r="K55" s="132"/>
      <c r="L55" s="133">
        <v>627</v>
      </c>
      <c r="M55" s="133"/>
      <c r="N55" s="133"/>
      <c r="O55" s="133"/>
      <c r="P55" s="133"/>
    </row>
    <row r="56" spans="1:16" ht="13.5">
      <c r="A56" s="76" t="s">
        <v>321</v>
      </c>
      <c r="B56" s="76" t="s">
        <v>373</v>
      </c>
      <c r="C56" s="78">
        <v>4</v>
      </c>
      <c r="D56" s="78" t="s">
        <v>78</v>
      </c>
      <c r="E56" s="106"/>
      <c r="F56" s="78" t="s">
        <v>79</v>
      </c>
      <c r="G56" s="90"/>
      <c r="H56" s="79" t="s">
        <v>42</v>
      </c>
      <c r="I56" s="141">
        <v>10804.55</v>
      </c>
      <c r="J56" s="107">
        <v>21609</v>
      </c>
      <c r="K56" s="132"/>
      <c r="L56" s="133"/>
      <c r="M56" s="133"/>
      <c r="N56" s="133"/>
      <c r="O56" s="133"/>
      <c r="P56" s="133"/>
    </row>
    <row r="57" spans="1:16" ht="13.5">
      <c r="A57" s="76" t="s">
        <v>322</v>
      </c>
      <c r="B57" s="76" t="s">
        <v>374</v>
      </c>
      <c r="C57" s="78">
        <v>1</v>
      </c>
      <c r="D57" s="78" t="s">
        <v>80</v>
      </c>
      <c r="E57" s="106"/>
      <c r="F57" s="78" t="s">
        <v>81</v>
      </c>
      <c r="G57" s="90"/>
      <c r="H57" s="87"/>
      <c r="I57" s="146"/>
      <c r="J57" s="107"/>
      <c r="K57" s="132"/>
      <c r="L57" s="133">
        <v>17887.5</v>
      </c>
      <c r="M57" s="133"/>
      <c r="N57" s="133"/>
      <c r="O57" s="133"/>
      <c r="P57" s="133"/>
    </row>
    <row r="58" spans="1:16" ht="13.5">
      <c r="A58" s="96"/>
      <c r="B58" s="96"/>
      <c r="C58" s="97"/>
      <c r="D58" s="97"/>
      <c r="E58" s="87"/>
      <c r="F58" s="97"/>
      <c r="G58" s="90"/>
      <c r="H58" s="90"/>
      <c r="I58" s="125" t="s">
        <v>56</v>
      </c>
      <c r="J58" s="125">
        <f>SUM(J45:J57)</f>
        <v>21609</v>
      </c>
      <c r="K58" s="75"/>
      <c r="L58" s="121">
        <f>SUM(L45:L57)</f>
        <v>42473.5</v>
      </c>
      <c r="M58" s="121"/>
      <c r="N58" s="121"/>
      <c r="O58" s="121"/>
      <c r="P58" s="121"/>
    </row>
    <row r="59" spans="1:16" s="71" customFormat="1" ht="13.5">
      <c r="A59" s="126" t="s">
        <v>323</v>
      </c>
      <c r="B59" s="91"/>
      <c r="C59" s="92"/>
      <c r="D59" s="92"/>
      <c r="E59" s="84"/>
      <c r="F59" s="109"/>
      <c r="G59" s="84"/>
      <c r="H59" s="84"/>
      <c r="I59" s="82"/>
      <c r="J59" s="148"/>
      <c r="K59" s="149"/>
      <c r="L59" s="147"/>
      <c r="M59" s="135"/>
      <c r="N59" s="135"/>
      <c r="O59" s="135"/>
      <c r="P59" s="135"/>
    </row>
    <row r="60" spans="1:16" ht="13.5">
      <c r="A60" s="76" t="s">
        <v>319</v>
      </c>
      <c r="B60" s="76" t="s">
        <v>376</v>
      </c>
      <c r="C60" s="78">
        <v>3</v>
      </c>
      <c r="D60" s="78" t="s">
        <v>45</v>
      </c>
      <c r="E60" s="79"/>
      <c r="F60" s="78" t="s">
        <v>68</v>
      </c>
      <c r="G60" s="90"/>
      <c r="H60" s="79" t="s">
        <v>42</v>
      </c>
      <c r="I60" s="141">
        <v>1266.5</v>
      </c>
      <c r="J60" s="107"/>
      <c r="K60" s="132"/>
      <c r="L60" s="133">
        <v>3900</v>
      </c>
      <c r="M60" s="133"/>
      <c r="N60" s="133"/>
      <c r="O60" s="133"/>
      <c r="P60" s="133"/>
    </row>
    <row r="61" spans="1:16" ht="13.5">
      <c r="A61" s="96"/>
      <c r="B61" s="96"/>
      <c r="C61" s="97"/>
      <c r="D61" s="97"/>
      <c r="E61" s="87"/>
      <c r="F61" s="97"/>
      <c r="G61" s="90"/>
      <c r="H61" s="90"/>
      <c r="I61" s="125" t="s">
        <v>56</v>
      </c>
      <c r="J61" s="125"/>
      <c r="K61" s="75"/>
      <c r="L61" s="121">
        <f>SUM(L60)</f>
        <v>3900</v>
      </c>
      <c r="M61" s="121"/>
      <c r="N61" s="121"/>
      <c r="O61" s="121"/>
      <c r="P61" s="121"/>
    </row>
    <row r="62" spans="1:16" ht="13.5">
      <c r="A62" s="130" t="s">
        <v>324</v>
      </c>
      <c r="B62" s="91"/>
      <c r="C62" s="92"/>
      <c r="D62" s="92"/>
      <c r="E62" s="84"/>
      <c r="F62" s="109"/>
      <c r="G62" s="84"/>
      <c r="H62" s="84"/>
      <c r="I62" s="82"/>
      <c r="J62" s="108"/>
      <c r="K62"/>
      <c r="L62" s="134"/>
      <c r="M62" s="134"/>
      <c r="N62" s="134"/>
      <c r="O62" s="134"/>
      <c r="P62" s="134"/>
    </row>
    <row r="63" spans="1:16" ht="13.5">
      <c r="A63" s="76" t="s">
        <v>325</v>
      </c>
      <c r="B63" s="76" t="s">
        <v>375</v>
      </c>
      <c r="C63" s="78">
        <v>2</v>
      </c>
      <c r="D63" s="78" t="s">
        <v>52</v>
      </c>
      <c r="E63" s="79"/>
      <c r="F63" s="105" t="s">
        <v>141</v>
      </c>
      <c r="G63" s="87"/>
      <c r="H63" s="79" t="s">
        <v>42</v>
      </c>
      <c r="I63" s="80">
        <v>8775.41</v>
      </c>
      <c r="J63" s="107"/>
      <c r="K63" s="132"/>
      <c r="L63" s="139"/>
      <c r="M63" s="133">
        <f>(978*12.5)</f>
        <v>12225</v>
      </c>
      <c r="N63" s="133"/>
      <c r="O63" s="133"/>
      <c r="P63" s="133"/>
    </row>
    <row r="64" spans="1:16" s="71" customFormat="1" ht="12">
      <c r="A64" s="96"/>
      <c r="B64" s="96"/>
      <c r="C64" s="97"/>
      <c r="D64" s="97"/>
      <c r="E64" s="87"/>
      <c r="F64" s="97"/>
      <c r="G64" s="90"/>
      <c r="H64" s="90"/>
      <c r="I64" s="125" t="s">
        <v>56</v>
      </c>
      <c r="J64" s="125"/>
      <c r="K64" s="75"/>
      <c r="L64" s="121"/>
      <c r="M64" s="121">
        <f>SUM(M63)</f>
        <v>12225</v>
      </c>
      <c r="N64" s="121"/>
      <c r="O64" s="121"/>
      <c r="P64" s="121"/>
    </row>
    <row r="65" spans="1:16" ht="13.5">
      <c r="A65" s="130" t="s">
        <v>326</v>
      </c>
      <c r="B65" s="91"/>
      <c r="C65" s="92"/>
      <c r="D65" s="92"/>
      <c r="E65" s="84"/>
      <c r="F65" s="109"/>
      <c r="G65" s="84"/>
      <c r="H65" s="84"/>
      <c r="I65" s="82"/>
      <c r="J65" s="108"/>
      <c r="K65"/>
      <c r="L65" s="135"/>
      <c r="M65" s="134"/>
      <c r="N65" s="134"/>
      <c r="O65" s="134"/>
      <c r="P65" s="134"/>
    </row>
    <row r="66" spans="1:16" ht="13.5">
      <c r="A66" s="76" t="s">
        <v>327</v>
      </c>
      <c r="B66" s="76" t="s">
        <v>377</v>
      </c>
      <c r="C66" s="78">
        <v>1</v>
      </c>
      <c r="D66" s="78" t="s">
        <v>83</v>
      </c>
      <c r="E66" s="79"/>
      <c r="F66" s="78" t="s">
        <v>84</v>
      </c>
      <c r="G66" s="84"/>
      <c r="H66" s="79" t="s">
        <v>42</v>
      </c>
      <c r="I66" s="80">
        <v>1509.93</v>
      </c>
      <c r="J66" s="107">
        <f>I66*C66</f>
        <v>1509.93</v>
      </c>
      <c r="K66" s="132"/>
      <c r="L66" s="139"/>
      <c r="M66" s="133"/>
      <c r="N66" s="133"/>
      <c r="O66" s="133"/>
      <c r="P66" s="133"/>
    </row>
    <row r="67" spans="1:16" ht="13.5">
      <c r="A67" s="76" t="s">
        <v>328</v>
      </c>
      <c r="B67" s="76" t="s">
        <v>382</v>
      </c>
      <c r="C67" s="78">
        <v>1</v>
      </c>
      <c r="D67" s="78" t="s">
        <v>75</v>
      </c>
      <c r="E67" s="79"/>
      <c r="F67" s="78" t="s">
        <v>85</v>
      </c>
      <c r="G67" s="87"/>
      <c r="H67" s="79" t="s">
        <v>42</v>
      </c>
      <c r="I67" s="80">
        <v>711.51</v>
      </c>
      <c r="J67" s="107">
        <f>I67*C67</f>
        <v>711.51</v>
      </c>
      <c r="K67" s="138"/>
      <c r="L67" s="106"/>
      <c r="M67" s="133"/>
      <c r="N67" s="133"/>
      <c r="O67" s="133"/>
      <c r="P67" s="133"/>
    </row>
    <row r="68" spans="1:16" ht="13.5">
      <c r="A68" s="76" t="s">
        <v>329</v>
      </c>
      <c r="B68" s="76" t="s">
        <v>378</v>
      </c>
      <c r="C68" s="78">
        <v>1</v>
      </c>
      <c r="D68" s="78" t="s">
        <v>40</v>
      </c>
      <c r="E68" s="79"/>
      <c r="F68" s="78" t="s">
        <v>86</v>
      </c>
      <c r="G68" s="87"/>
      <c r="H68" s="79" t="s">
        <v>42</v>
      </c>
      <c r="I68" s="80">
        <v>1505.58</v>
      </c>
      <c r="J68" s="107">
        <f aca="true" t="shared" si="0" ref="J68:J75">I68*C68</f>
        <v>1505.58</v>
      </c>
      <c r="K68" s="138"/>
      <c r="L68" s="139"/>
      <c r="M68" s="139"/>
      <c r="N68" s="139"/>
      <c r="O68" s="139"/>
      <c r="P68" s="139"/>
    </row>
    <row r="69" spans="1:16" s="71" customFormat="1" ht="12">
      <c r="A69" s="76" t="s">
        <v>330</v>
      </c>
      <c r="B69" s="76" t="s">
        <v>379</v>
      </c>
      <c r="C69" s="78">
        <v>1</v>
      </c>
      <c r="D69" s="78" t="s">
        <v>45</v>
      </c>
      <c r="E69" s="79"/>
      <c r="F69" s="78" t="s">
        <v>87</v>
      </c>
      <c r="G69" s="87"/>
      <c r="H69" s="79" t="s">
        <v>42</v>
      </c>
      <c r="I69" s="80">
        <v>2035.29</v>
      </c>
      <c r="J69" s="107">
        <f t="shared" si="0"/>
        <v>2035.29</v>
      </c>
      <c r="K69" s="138"/>
      <c r="L69" s="139"/>
      <c r="M69" s="139"/>
      <c r="N69" s="139"/>
      <c r="O69" s="139"/>
      <c r="P69" s="139"/>
    </row>
    <row r="70" spans="1:16" ht="13.5">
      <c r="A70" s="76" t="s">
        <v>380</v>
      </c>
      <c r="B70" s="76"/>
      <c r="C70" s="78">
        <v>1</v>
      </c>
      <c r="D70" s="78" t="s">
        <v>88</v>
      </c>
      <c r="E70" s="79"/>
      <c r="F70" s="78" t="s">
        <v>89</v>
      </c>
      <c r="G70" s="87"/>
      <c r="H70" s="79" t="s">
        <v>42</v>
      </c>
      <c r="I70" s="80">
        <v>2334.5</v>
      </c>
      <c r="J70" s="107">
        <f t="shared" si="0"/>
        <v>2334.5</v>
      </c>
      <c r="K70" s="138"/>
      <c r="L70" s="133"/>
      <c r="M70" s="139"/>
      <c r="N70" s="139"/>
      <c r="O70" s="139"/>
      <c r="P70" s="139"/>
    </row>
    <row r="71" spans="1:16" ht="13.5">
      <c r="A71" s="76" t="s">
        <v>306</v>
      </c>
      <c r="B71" s="88" t="s">
        <v>306</v>
      </c>
      <c r="C71" s="78">
        <v>1</v>
      </c>
      <c r="D71" s="78" t="s">
        <v>45</v>
      </c>
      <c r="E71" s="79"/>
      <c r="F71" s="105" t="s">
        <v>61</v>
      </c>
      <c r="G71" s="87"/>
      <c r="H71" s="79" t="s">
        <v>42</v>
      </c>
      <c r="I71" s="80">
        <v>928.76</v>
      </c>
      <c r="J71" s="107">
        <f t="shared" si="0"/>
        <v>928.76</v>
      </c>
      <c r="K71" s="150"/>
      <c r="L71" s="133"/>
      <c r="M71" s="139"/>
      <c r="N71" s="139"/>
      <c r="O71" s="139"/>
      <c r="P71" s="139"/>
    </row>
    <row r="72" spans="1:16" ht="13.5">
      <c r="A72" s="76" t="s">
        <v>305</v>
      </c>
      <c r="B72" s="76" t="s">
        <v>383</v>
      </c>
      <c r="C72" s="78">
        <v>1</v>
      </c>
      <c r="D72" s="78" t="s">
        <v>59</v>
      </c>
      <c r="E72" s="81"/>
      <c r="F72" s="78" t="s">
        <v>60</v>
      </c>
      <c r="G72" s="87"/>
      <c r="H72" s="79" t="s">
        <v>42</v>
      </c>
      <c r="I72" s="80">
        <v>661.4</v>
      </c>
      <c r="J72" s="107">
        <f t="shared" si="0"/>
        <v>661.4</v>
      </c>
      <c r="K72" s="138"/>
      <c r="L72" s="133"/>
      <c r="M72" s="106"/>
      <c r="N72" s="106"/>
      <c r="O72" s="106"/>
      <c r="P72" s="106"/>
    </row>
    <row r="73" spans="1:16" ht="13.5">
      <c r="A73" s="76" t="s">
        <v>331</v>
      </c>
      <c r="B73" s="76" t="s">
        <v>384</v>
      </c>
      <c r="C73" s="78">
        <v>1</v>
      </c>
      <c r="D73" s="78" t="s">
        <v>45</v>
      </c>
      <c r="E73" s="81"/>
      <c r="F73" s="78" t="s">
        <v>90</v>
      </c>
      <c r="G73" s="87"/>
      <c r="H73" s="79" t="s">
        <v>42</v>
      </c>
      <c r="I73" s="80">
        <v>818.83</v>
      </c>
      <c r="J73" s="107">
        <f t="shared" si="0"/>
        <v>818.83</v>
      </c>
      <c r="K73" s="138"/>
      <c r="L73" s="139"/>
      <c r="M73" s="139"/>
      <c r="N73" s="139"/>
      <c r="O73" s="139"/>
      <c r="P73" s="139"/>
    </row>
    <row r="74" spans="1:16" s="71" customFormat="1" ht="12">
      <c r="A74" s="76" t="s">
        <v>331</v>
      </c>
      <c r="B74" s="76" t="s">
        <v>385</v>
      </c>
      <c r="C74" s="78">
        <v>2</v>
      </c>
      <c r="D74" s="78" t="s">
        <v>45</v>
      </c>
      <c r="E74" s="81"/>
      <c r="F74" s="78" t="s">
        <v>47</v>
      </c>
      <c r="G74" s="81"/>
      <c r="H74" s="79" t="s">
        <v>42</v>
      </c>
      <c r="I74" s="80">
        <v>659.61</v>
      </c>
      <c r="J74" s="107">
        <f t="shared" si="0"/>
        <v>1319.22</v>
      </c>
      <c r="K74" s="131"/>
      <c r="L74" s="139"/>
      <c r="M74" s="139"/>
      <c r="N74" s="139"/>
      <c r="O74" s="139"/>
      <c r="P74" s="139"/>
    </row>
    <row r="75" spans="1:16" ht="13.5">
      <c r="A75" s="76" t="s">
        <v>332</v>
      </c>
      <c r="B75" s="76" t="s">
        <v>386</v>
      </c>
      <c r="C75" s="78">
        <v>2</v>
      </c>
      <c r="D75" s="78" t="s">
        <v>91</v>
      </c>
      <c r="E75" s="79"/>
      <c r="F75" s="106" t="s">
        <v>79</v>
      </c>
      <c r="G75" s="90"/>
      <c r="H75" s="79" t="s">
        <v>42</v>
      </c>
      <c r="I75" s="103">
        <v>2611.11</v>
      </c>
      <c r="J75" s="107">
        <f t="shared" si="0"/>
        <v>5222.22</v>
      </c>
      <c r="K75" s="132"/>
      <c r="L75" s="139"/>
      <c r="M75" s="133"/>
      <c r="N75" s="133"/>
      <c r="O75" s="133"/>
      <c r="P75" s="133"/>
    </row>
    <row r="76" spans="1:16" ht="13.5">
      <c r="A76" s="96"/>
      <c r="B76" s="96"/>
      <c r="C76" s="97"/>
      <c r="D76" s="97"/>
      <c r="E76" s="87"/>
      <c r="F76" s="97"/>
      <c r="G76" s="90"/>
      <c r="H76" s="90"/>
      <c r="I76" s="125" t="s">
        <v>56</v>
      </c>
      <c r="J76" s="125">
        <f>SUM(J66:J75)</f>
        <v>17047.239999999998</v>
      </c>
      <c r="K76" s="75"/>
      <c r="L76" s="121"/>
      <c r="M76" s="121"/>
      <c r="N76" s="121"/>
      <c r="O76" s="121"/>
      <c r="P76" s="121"/>
    </row>
    <row r="77" spans="1:16" ht="13.5">
      <c r="A77" s="130" t="s">
        <v>381</v>
      </c>
      <c r="B77" s="91"/>
      <c r="C77" s="92"/>
      <c r="D77" s="92"/>
      <c r="E77" s="84"/>
      <c r="F77" s="109"/>
      <c r="G77" s="84"/>
      <c r="H77" s="84"/>
      <c r="I77" s="85"/>
      <c r="J77" s="108"/>
      <c r="K77" s="94"/>
      <c r="L77" s="135"/>
      <c r="M77" s="134"/>
      <c r="N77" s="134"/>
      <c r="O77" s="134"/>
      <c r="P77" s="134"/>
    </row>
    <row r="78" spans="1:16" ht="13.5">
      <c r="A78" s="76" t="s">
        <v>82</v>
      </c>
      <c r="B78" s="76" t="s">
        <v>387</v>
      </c>
      <c r="C78" s="78">
        <v>2</v>
      </c>
      <c r="D78" s="78" t="s">
        <v>83</v>
      </c>
      <c r="E78" s="79"/>
      <c r="F78" s="106" t="s">
        <v>92</v>
      </c>
      <c r="G78" s="84"/>
      <c r="H78" s="79" t="s">
        <v>42</v>
      </c>
      <c r="I78" s="103">
        <v>1730.41</v>
      </c>
      <c r="J78" s="107">
        <f aca="true" t="shared" si="1" ref="J78:J83">I78*C78</f>
        <v>3460.82</v>
      </c>
      <c r="K78" s="138"/>
      <c r="L78" s="139"/>
      <c r="M78" s="139"/>
      <c r="N78" s="139"/>
      <c r="O78" s="139"/>
      <c r="P78" s="139"/>
    </row>
    <row r="79" spans="1:16" s="71" customFormat="1" ht="12">
      <c r="A79" s="76" t="s">
        <v>333</v>
      </c>
      <c r="B79" s="76"/>
      <c r="C79" s="78">
        <v>2</v>
      </c>
      <c r="D79" s="78" t="s">
        <v>93</v>
      </c>
      <c r="E79" s="79"/>
      <c r="F79" s="106" t="s">
        <v>94</v>
      </c>
      <c r="G79" s="84"/>
      <c r="H79" s="79" t="s">
        <v>42</v>
      </c>
      <c r="I79" s="103">
        <v>1006.39</v>
      </c>
      <c r="J79" s="107">
        <f t="shared" si="1"/>
        <v>2012.78</v>
      </c>
      <c r="K79" s="138"/>
      <c r="L79" s="133"/>
      <c r="M79" s="139"/>
      <c r="N79" s="139"/>
      <c r="O79" s="139"/>
      <c r="P79" s="139"/>
    </row>
    <row r="80" spans="1:16" ht="13.5">
      <c r="A80" s="76" t="s">
        <v>95</v>
      </c>
      <c r="B80" s="76" t="s">
        <v>390</v>
      </c>
      <c r="C80" s="78">
        <v>2</v>
      </c>
      <c r="D80" s="78" t="s">
        <v>96</v>
      </c>
      <c r="E80" s="79"/>
      <c r="F80" s="106" t="s">
        <v>97</v>
      </c>
      <c r="G80" s="84"/>
      <c r="H80" s="79" t="s">
        <v>42</v>
      </c>
      <c r="I80" s="103">
        <v>1741</v>
      </c>
      <c r="J80" s="107">
        <f t="shared" si="1"/>
        <v>3482</v>
      </c>
      <c r="K80" s="138"/>
      <c r="L80" s="133"/>
      <c r="M80" s="139"/>
      <c r="N80" s="139"/>
      <c r="O80" s="139"/>
      <c r="P80" s="139"/>
    </row>
    <row r="81" spans="1:16" ht="13.5">
      <c r="A81" s="76" t="s">
        <v>334</v>
      </c>
      <c r="B81" s="76" t="s">
        <v>389</v>
      </c>
      <c r="C81" s="78">
        <v>2</v>
      </c>
      <c r="D81" s="78" t="s">
        <v>98</v>
      </c>
      <c r="E81" s="79"/>
      <c r="F81" s="106" t="s">
        <v>99</v>
      </c>
      <c r="G81" s="84"/>
      <c r="H81" s="79"/>
      <c r="I81" s="103">
        <v>3284.23</v>
      </c>
      <c r="J81" s="107"/>
      <c r="K81" s="138"/>
      <c r="L81" s="133">
        <v>4392</v>
      </c>
      <c r="M81" s="139"/>
      <c r="N81" s="139"/>
      <c r="O81" s="139"/>
      <c r="P81" s="139"/>
    </row>
    <row r="82" spans="1:16" ht="13.5">
      <c r="A82" s="76" t="s">
        <v>305</v>
      </c>
      <c r="B82" s="76" t="s">
        <v>391</v>
      </c>
      <c r="C82" s="78">
        <v>2</v>
      </c>
      <c r="D82" s="78" t="s">
        <v>59</v>
      </c>
      <c r="E82" s="81"/>
      <c r="F82" s="78" t="s">
        <v>60</v>
      </c>
      <c r="G82" s="87"/>
      <c r="H82" s="79" t="s">
        <v>42</v>
      </c>
      <c r="I82" s="80">
        <v>695.31</v>
      </c>
      <c r="J82" s="107">
        <f t="shared" si="1"/>
        <v>1390.62</v>
      </c>
      <c r="K82" s="138"/>
      <c r="L82" s="133"/>
      <c r="M82" s="139"/>
      <c r="N82" s="139"/>
      <c r="O82" s="139"/>
      <c r="P82" s="139"/>
    </row>
    <row r="83" spans="1:16" ht="13.5">
      <c r="A83" s="76" t="s">
        <v>306</v>
      </c>
      <c r="B83" s="88" t="s">
        <v>45</v>
      </c>
      <c r="C83" s="78">
        <v>2</v>
      </c>
      <c r="D83" s="78" t="s">
        <v>45</v>
      </c>
      <c r="E83" s="79"/>
      <c r="F83" s="105" t="s">
        <v>61</v>
      </c>
      <c r="G83" s="87"/>
      <c r="H83" s="79" t="s">
        <v>42</v>
      </c>
      <c r="I83" s="80">
        <v>661.4</v>
      </c>
      <c r="J83" s="107">
        <f t="shared" si="1"/>
        <v>1322.8</v>
      </c>
      <c r="K83" s="131"/>
      <c r="L83" s="133"/>
      <c r="M83" s="139"/>
      <c r="N83" s="139"/>
      <c r="O83" s="139"/>
      <c r="P83" s="139"/>
    </row>
    <row r="84" spans="1:16" s="71" customFormat="1" ht="13.5">
      <c r="A84" s="76" t="s">
        <v>335</v>
      </c>
      <c r="B84" s="76" t="s">
        <v>370</v>
      </c>
      <c r="C84" s="78">
        <v>4</v>
      </c>
      <c r="D84" s="78"/>
      <c r="E84" s="79"/>
      <c r="F84" s="78" t="s">
        <v>68</v>
      </c>
      <c r="G84" s="90"/>
      <c r="H84" s="79" t="s">
        <v>42</v>
      </c>
      <c r="I84" s="80">
        <v>1266.5</v>
      </c>
      <c r="J84" s="107">
        <f>I84*C84</f>
        <v>5066</v>
      </c>
      <c r="K84" s="132"/>
      <c r="L84" s="133"/>
      <c r="M84" s="133"/>
      <c r="N84" s="133"/>
      <c r="O84" s="133"/>
      <c r="P84" s="133"/>
    </row>
    <row r="85" spans="1:16" ht="13.5">
      <c r="A85" s="76" t="s">
        <v>336</v>
      </c>
      <c r="B85" s="76" t="s">
        <v>396</v>
      </c>
      <c r="C85" s="78">
        <v>2</v>
      </c>
      <c r="D85" s="78" t="s">
        <v>100</v>
      </c>
      <c r="E85" s="79"/>
      <c r="F85" s="78" t="s">
        <v>101</v>
      </c>
      <c r="G85" s="90"/>
      <c r="H85" s="79" t="s">
        <v>42</v>
      </c>
      <c r="I85" s="80">
        <v>2355.52</v>
      </c>
      <c r="J85" s="107">
        <f>I85*C85</f>
        <v>4711.04</v>
      </c>
      <c r="K85" s="132"/>
      <c r="L85" s="133"/>
      <c r="M85" s="133"/>
      <c r="N85" s="133"/>
      <c r="O85" s="133"/>
      <c r="P85" s="133"/>
    </row>
    <row r="86" spans="1:16" ht="13.5">
      <c r="A86" s="76" t="s">
        <v>332</v>
      </c>
      <c r="B86" s="76" t="s">
        <v>388</v>
      </c>
      <c r="C86" s="78">
        <v>8</v>
      </c>
      <c r="D86" s="78" t="s">
        <v>102</v>
      </c>
      <c r="E86" s="79"/>
      <c r="F86" s="106" t="s">
        <v>103</v>
      </c>
      <c r="G86" s="90"/>
      <c r="H86" s="79" t="s">
        <v>42</v>
      </c>
      <c r="I86" s="103">
        <v>3475.83</v>
      </c>
      <c r="J86" s="107">
        <f>I86*C86</f>
        <v>27806.64</v>
      </c>
      <c r="K86" s="132"/>
      <c r="L86" s="139"/>
      <c r="M86" s="133"/>
      <c r="N86" s="133"/>
      <c r="O86" s="133"/>
      <c r="P86" s="133"/>
    </row>
    <row r="87" spans="1:16" ht="13.5">
      <c r="A87" s="96"/>
      <c r="B87" s="96"/>
      <c r="C87" s="97"/>
      <c r="D87" s="97"/>
      <c r="E87" s="87"/>
      <c r="F87" s="97"/>
      <c r="G87" s="90"/>
      <c r="H87" s="90"/>
      <c r="I87" s="125" t="s">
        <v>56</v>
      </c>
      <c r="J87" s="125">
        <f>SUM(J78:J86)</f>
        <v>49252.7</v>
      </c>
      <c r="K87" s="75"/>
      <c r="L87" s="121">
        <f>SUM(L78:L86)</f>
        <v>4392</v>
      </c>
      <c r="M87" s="121"/>
      <c r="N87" s="121"/>
      <c r="O87" s="121"/>
      <c r="P87" s="121"/>
    </row>
    <row r="88" spans="1:16" ht="13.5">
      <c r="A88" s="130" t="s">
        <v>337</v>
      </c>
      <c r="B88" s="91"/>
      <c r="C88" s="92"/>
      <c r="D88" s="92"/>
      <c r="E88" s="84"/>
      <c r="F88" s="109"/>
      <c r="G88" s="84"/>
      <c r="H88" s="84"/>
      <c r="I88" s="82"/>
      <c r="J88" s="108"/>
      <c r="K88" s="95"/>
      <c r="L88" s="134"/>
      <c r="M88" s="134"/>
      <c r="N88" s="134"/>
      <c r="O88" s="134"/>
      <c r="P88" s="134"/>
    </row>
    <row r="89" spans="1:16" s="71" customFormat="1" ht="13.5">
      <c r="A89" s="76" t="s">
        <v>332</v>
      </c>
      <c r="B89" s="76" t="s">
        <v>388</v>
      </c>
      <c r="C89" s="78">
        <v>10</v>
      </c>
      <c r="D89" s="78" t="s">
        <v>102</v>
      </c>
      <c r="E89" s="79"/>
      <c r="F89" s="106" t="s">
        <v>104</v>
      </c>
      <c r="G89" s="79"/>
      <c r="H89" s="79" t="s">
        <v>42</v>
      </c>
      <c r="I89" s="80">
        <v>3580.11</v>
      </c>
      <c r="J89" s="107">
        <f>I89*C89</f>
        <v>35801.1</v>
      </c>
      <c r="K89" s="132"/>
      <c r="L89" s="133"/>
      <c r="M89" s="133"/>
      <c r="N89" s="133"/>
      <c r="O89" s="133"/>
      <c r="P89" s="133"/>
    </row>
    <row r="90" spans="1:16" ht="13.5">
      <c r="A90" s="96"/>
      <c r="B90" s="96"/>
      <c r="C90" s="97"/>
      <c r="D90" s="97"/>
      <c r="E90" s="87"/>
      <c r="F90" s="110"/>
      <c r="G90" s="90"/>
      <c r="H90" s="90"/>
      <c r="I90" s="125" t="s">
        <v>56</v>
      </c>
      <c r="J90" s="125">
        <f>SUM(J89)</f>
        <v>35801.1</v>
      </c>
      <c r="K90" s="75"/>
      <c r="L90" s="121"/>
      <c r="M90" s="121"/>
      <c r="N90" s="121"/>
      <c r="O90" s="121"/>
      <c r="P90" s="121"/>
    </row>
    <row r="91" spans="1:16" ht="13.5">
      <c r="A91" s="130" t="s">
        <v>338</v>
      </c>
      <c r="B91" s="91"/>
      <c r="C91" s="92"/>
      <c r="D91" s="92"/>
      <c r="E91" s="84"/>
      <c r="F91" s="109"/>
      <c r="G91" s="84"/>
      <c r="H91" s="84"/>
      <c r="I91" s="82"/>
      <c r="J91" s="108"/>
      <c r="K91"/>
      <c r="L91" s="134"/>
      <c r="M91" s="135"/>
      <c r="N91" s="135"/>
      <c r="O91" s="135"/>
      <c r="P91" s="135"/>
    </row>
    <row r="92" spans="1:16" ht="13.5">
      <c r="A92" s="76" t="s">
        <v>327</v>
      </c>
      <c r="B92" s="76" t="s">
        <v>392</v>
      </c>
      <c r="C92" s="78">
        <v>1</v>
      </c>
      <c r="D92" s="78" t="s">
        <v>83</v>
      </c>
      <c r="E92" s="79"/>
      <c r="F92" s="106" t="s">
        <v>92</v>
      </c>
      <c r="G92" s="84"/>
      <c r="H92" s="79" t="s">
        <v>42</v>
      </c>
      <c r="I92" s="103">
        <v>1730.17</v>
      </c>
      <c r="J92" s="107">
        <f aca="true" t="shared" si="2" ref="J92:J98">I92*C92</f>
        <v>1730.17</v>
      </c>
      <c r="K92" s="132"/>
      <c r="L92" s="133"/>
      <c r="M92" s="133"/>
      <c r="N92" s="133"/>
      <c r="O92" s="133"/>
      <c r="P92" s="133"/>
    </row>
    <row r="93" spans="1:16" ht="13.5">
      <c r="A93" s="76" t="s">
        <v>339</v>
      </c>
      <c r="B93" s="76"/>
      <c r="C93" s="78">
        <v>1</v>
      </c>
      <c r="D93" s="78" t="s">
        <v>93</v>
      </c>
      <c r="E93" s="79"/>
      <c r="F93" s="106" t="s">
        <v>94</v>
      </c>
      <c r="G93" s="84"/>
      <c r="H93" s="79" t="s">
        <v>42</v>
      </c>
      <c r="I93" s="103">
        <v>1006.39</v>
      </c>
      <c r="J93" s="107">
        <f t="shared" si="2"/>
        <v>1006.39</v>
      </c>
      <c r="K93" s="132"/>
      <c r="L93" s="133"/>
      <c r="M93" s="133"/>
      <c r="N93" s="133"/>
      <c r="O93" s="133"/>
      <c r="P93" s="133"/>
    </row>
    <row r="94" spans="1:16" s="71" customFormat="1" ht="12">
      <c r="A94" s="76" t="s">
        <v>95</v>
      </c>
      <c r="B94" s="76" t="s">
        <v>393</v>
      </c>
      <c r="C94" s="78">
        <v>1</v>
      </c>
      <c r="D94" s="78" t="s">
        <v>96</v>
      </c>
      <c r="E94" s="79"/>
      <c r="F94" s="106" t="s">
        <v>97</v>
      </c>
      <c r="G94" s="84"/>
      <c r="H94" s="79" t="s">
        <v>42</v>
      </c>
      <c r="I94" s="103">
        <v>1741</v>
      </c>
      <c r="J94" s="107">
        <f t="shared" si="2"/>
        <v>1741</v>
      </c>
      <c r="K94" s="138"/>
      <c r="L94" s="133"/>
      <c r="M94" s="133"/>
      <c r="N94" s="133"/>
      <c r="O94" s="133"/>
      <c r="P94" s="133"/>
    </row>
    <row r="95" spans="1:16" ht="13.5">
      <c r="A95" s="76" t="s">
        <v>334</v>
      </c>
      <c r="B95" s="76" t="s">
        <v>389</v>
      </c>
      <c r="C95" s="78">
        <v>1</v>
      </c>
      <c r="D95" s="78" t="s">
        <v>98</v>
      </c>
      <c r="E95" s="79"/>
      <c r="F95" s="106" t="s">
        <v>99</v>
      </c>
      <c r="G95" s="84"/>
      <c r="H95" s="79" t="s">
        <v>42</v>
      </c>
      <c r="I95" s="103">
        <v>3284.23</v>
      </c>
      <c r="J95" s="107"/>
      <c r="K95" s="131"/>
      <c r="L95" s="133">
        <v>2196</v>
      </c>
      <c r="M95" s="139"/>
      <c r="N95" s="139"/>
      <c r="O95" s="139"/>
      <c r="P95" s="139"/>
    </row>
    <row r="96" spans="1:16" ht="13.5">
      <c r="A96" s="76" t="s">
        <v>332</v>
      </c>
      <c r="B96" s="76" t="s">
        <v>394</v>
      </c>
      <c r="C96" s="78">
        <v>2</v>
      </c>
      <c r="D96" s="78" t="s">
        <v>105</v>
      </c>
      <c r="E96" s="79"/>
      <c r="F96" s="106" t="s">
        <v>79</v>
      </c>
      <c r="G96" s="84"/>
      <c r="H96" s="79" t="s">
        <v>42</v>
      </c>
      <c r="I96" s="103">
        <v>2611.11</v>
      </c>
      <c r="J96" s="107">
        <f t="shared" si="2"/>
        <v>5222.22</v>
      </c>
      <c r="K96" s="131"/>
      <c r="L96" s="133"/>
      <c r="M96" s="133"/>
      <c r="N96" s="133"/>
      <c r="O96" s="133"/>
      <c r="P96" s="133"/>
    </row>
    <row r="97" spans="1:16" ht="13.5">
      <c r="A97" s="76" t="s">
        <v>305</v>
      </c>
      <c r="B97" s="76" t="s">
        <v>397</v>
      </c>
      <c r="C97" s="78">
        <v>1</v>
      </c>
      <c r="D97" s="78" t="s">
        <v>59</v>
      </c>
      <c r="E97" s="81"/>
      <c r="F97" s="78" t="s">
        <v>60</v>
      </c>
      <c r="G97" s="87"/>
      <c r="H97" s="79" t="s">
        <v>42</v>
      </c>
      <c r="I97" s="80">
        <v>661.4</v>
      </c>
      <c r="J97" s="107">
        <f t="shared" si="2"/>
        <v>661.4</v>
      </c>
      <c r="K97" s="132"/>
      <c r="L97" s="133"/>
      <c r="M97" s="133"/>
      <c r="N97" s="133"/>
      <c r="O97" s="133"/>
      <c r="P97" s="133"/>
    </row>
    <row r="98" spans="1:16" ht="13.5">
      <c r="A98" s="76" t="s">
        <v>306</v>
      </c>
      <c r="B98" s="88" t="s">
        <v>306</v>
      </c>
      <c r="C98" s="78">
        <v>1</v>
      </c>
      <c r="D98" s="78" t="s">
        <v>45</v>
      </c>
      <c r="E98" s="79"/>
      <c r="F98" s="105" t="s">
        <v>61</v>
      </c>
      <c r="G98" s="87"/>
      <c r="H98" s="79" t="s">
        <v>42</v>
      </c>
      <c r="I98" s="80">
        <v>928.76</v>
      </c>
      <c r="J98" s="107">
        <f t="shared" si="2"/>
        <v>928.76</v>
      </c>
      <c r="K98" s="132"/>
      <c r="L98" s="139"/>
      <c r="M98" s="133"/>
      <c r="N98" s="133"/>
      <c r="O98" s="133"/>
      <c r="P98" s="133"/>
    </row>
    <row r="99" spans="1:16" s="71" customFormat="1" ht="13.5">
      <c r="A99" s="76" t="s">
        <v>340</v>
      </c>
      <c r="B99" s="76" t="s">
        <v>376</v>
      </c>
      <c r="C99" s="78">
        <v>1</v>
      </c>
      <c r="D99" s="78"/>
      <c r="E99" s="79"/>
      <c r="F99" s="78" t="s">
        <v>68</v>
      </c>
      <c r="G99" s="90"/>
      <c r="H99" s="79" t="s">
        <v>42</v>
      </c>
      <c r="I99" s="80">
        <v>1266.5</v>
      </c>
      <c r="J99" s="107">
        <f>I99*C99</f>
        <v>1266.5</v>
      </c>
      <c r="K99" s="132"/>
      <c r="L99" s="133"/>
      <c r="M99" s="133"/>
      <c r="N99" s="133"/>
      <c r="O99" s="133"/>
      <c r="P99" s="133"/>
    </row>
    <row r="100" spans="1:16" ht="13.5">
      <c r="A100" s="96"/>
      <c r="B100" s="96"/>
      <c r="C100" s="97"/>
      <c r="D100" s="97"/>
      <c r="E100" s="87"/>
      <c r="F100" s="97"/>
      <c r="G100" s="90"/>
      <c r="H100" s="90"/>
      <c r="I100" s="125" t="s">
        <v>56</v>
      </c>
      <c r="J100" s="125">
        <f>SUM(J92:J99)</f>
        <v>12556.439999999999</v>
      </c>
      <c r="K100" s="75"/>
      <c r="L100" s="121">
        <f>SUM(L92:L99)</f>
        <v>2196</v>
      </c>
      <c r="M100" s="121"/>
      <c r="N100" s="121"/>
      <c r="O100" s="121"/>
      <c r="P100" s="121"/>
    </row>
    <row r="101" spans="1:16" ht="13.5">
      <c r="A101" s="93" t="s">
        <v>341</v>
      </c>
      <c r="B101" s="26"/>
      <c r="C101" s="68"/>
      <c r="D101" s="68"/>
      <c r="E101" s="84"/>
      <c r="F101" s="109"/>
      <c r="G101" s="84"/>
      <c r="H101" s="84"/>
      <c r="I101" s="82"/>
      <c r="J101" s="108"/>
      <c r="K101"/>
      <c r="L101" s="135"/>
      <c r="M101" s="134"/>
      <c r="N101" s="134"/>
      <c r="O101" s="134"/>
      <c r="P101" s="134"/>
    </row>
    <row r="102" spans="1:16" ht="13.5">
      <c r="A102" s="77" t="s">
        <v>342</v>
      </c>
      <c r="B102" s="76"/>
      <c r="C102" s="78">
        <v>1</v>
      </c>
      <c r="D102" s="89" t="s">
        <v>106</v>
      </c>
      <c r="E102" s="79"/>
      <c r="F102" s="106" t="s">
        <v>107</v>
      </c>
      <c r="G102" s="87"/>
      <c r="H102" s="79" t="s">
        <v>42</v>
      </c>
      <c r="I102" s="103">
        <v>3247.08</v>
      </c>
      <c r="J102" s="107"/>
      <c r="K102" s="138"/>
      <c r="L102" s="133"/>
      <c r="M102" s="133"/>
      <c r="N102" s="133"/>
      <c r="O102" s="133"/>
      <c r="P102" s="133">
        <v>3247.08</v>
      </c>
    </row>
    <row r="103" spans="1:16" ht="13.5">
      <c r="A103" s="77" t="s">
        <v>343</v>
      </c>
      <c r="B103" s="77" t="s">
        <v>395</v>
      </c>
      <c r="C103" s="78">
        <v>2</v>
      </c>
      <c r="D103" s="89" t="s">
        <v>108</v>
      </c>
      <c r="E103" s="79"/>
      <c r="F103" s="78" t="s">
        <v>109</v>
      </c>
      <c r="G103" s="90"/>
      <c r="H103" s="81" t="s">
        <v>42</v>
      </c>
      <c r="I103" s="103">
        <v>1309.88</v>
      </c>
      <c r="J103" s="107">
        <f>I103*C103</f>
        <v>2619.76</v>
      </c>
      <c r="K103" s="131"/>
      <c r="L103" s="139"/>
      <c r="M103" s="139"/>
      <c r="N103" s="139"/>
      <c r="O103" s="139"/>
      <c r="P103" s="139"/>
    </row>
    <row r="104" spans="1:16" ht="13.5">
      <c r="A104" s="76" t="s">
        <v>300</v>
      </c>
      <c r="B104" s="76" t="s">
        <v>398</v>
      </c>
      <c r="C104" s="78">
        <v>2</v>
      </c>
      <c r="D104" s="78" t="s">
        <v>45</v>
      </c>
      <c r="E104" s="79"/>
      <c r="F104" s="78" t="s">
        <v>47</v>
      </c>
      <c r="G104" s="90"/>
      <c r="H104" s="79" t="s">
        <v>42</v>
      </c>
      <c r="I104" s="80">
        <v>659.61</v>
      </c>
      <c r="J104" s="107">
        <f>I104*C104</f>
        <v>1319.22</v>
      </c>
      <c r="K104" s="131"/>
      <c r="L104" s="106"/>
      <c r="M104" s="139"/>
      <c r="N104" s="139"/>
      <c r="O104" s="139"/>
      <c r="P104" s="139"/>
    </row>
    <row r="105" spans="1:16" s="71" customFormat="1" ht="12">
      <c r="A105" s="96"/>
      <c r="B105" s="96"/>
      <c r="C105" s="97"/>
      <c r="D105" s="97"/>
      <c r="E105" s="87"/>
      <c r="F105" s="97"/>
      <c r="G105" s="90"/>
      <c r="H105" s="90"/>
      <c r="I105" s="125" t="s">
        <v>56</v>
      </c>
      <c r="J105" s="125">
        <f>SUM(J102:J104)</f>
        <v>3938.9800000000005</v>
      </c>
      <c r="K105" s="75"/>
      <c r="L105" s="121"/>
      <c r="M105" s="121"/>
      <c r="N105" s="121"/>
      <c r="O105" s="121"/>
      <c r="P105" s="121">
        <f>SUM(P102:P103)</f>
        <v>3247.08</v>
      </c>
    </row>
    <row r="106" spans="1:16" ht="13.5">
      <c r="A106" s="93" t="s">
        <v>344</v>
      </c>
      <c r="B106" s="26"/>
      <c r="C106" s="68"/>
      <c r="D106" s="68"/>
      <c r="E106" s="84"/>
      <c r="F106" s="109"/>
      <c r="G106" s="84"/>
      <c r="H106" s="84"/>
      <c r="I106" s="85"/>
      <c r="J106" s="108"/>
      <c r="K106" s="94"/>
      <c r="L106" s="134"/>
      <c r="M106" s="134"/>
      <c r="N106" s="134"/>
      <c r="O106" s="134"/>
      <c r="P106" s="134"/>
    </row>
    <row r="107" spans="1:16" ht="13.5">
      <c r="A107" s="77" t="s">
        <v>345</v>
      </c>
      <c r="B107" s="77" t="s">
        <v>399</v>
      </c>
      <c r="C107" s="78">
        <v>1</v>
      </c>
      <c r="D107" s="89" t="s">
        <v>110</v>
      </c>
      <c r="E107" s="79"/>
      <c r="F107" s="106" t="s">
        <v>111</v>
      </c>
      <c r="G107" s="87"/>
      <c r="H107" s="81" t="s">
        <v>42</v>
      </c>
      <c r="I107" s="103">
        <v>4933.75</v>
      </c>
      <c r="J107" s="107"/>
      <c r="K107" s="131"/>
      <c r="L107" s="133">
        <v>4962</v>
      </c>
      <c r="M107" s="139"/>
      <c r="N107" s="139"/>
      <c r="O107" s="139"/>
      <c r="P107" s="139"/>
    </row>
    <row r="108" spans="1:16" ht="13.5">
      <c r="A108" s="96"/>
      <c r="B108" s="96"/>
      <c r="C108" s="97"/>
      <c r="D108" s="97"/>
      <c r="E108" s="87"/>
      <c r="F108" s="97"/>
      <c r="G108" s="90"/>
      <c r="H108" s="90"/>
      <c r="I108" s="125" t="s">
        <v>56</v>
      </c>
      <c r="J108" s="125"/>
      <c r="K108" s="75"/>
      <c r="L108" s="121">
        <f>SUM(L107)</f>
        <v>4962</v>
      </c>
      <c r="M108" s="121"/>
      <c r="N108" s="121"/>
      <c r="O108" s="121"/>
      <c r="P108" s="121"/>
    </row>
    <row r="109" spans="1:16" ht="13.5">
      <c r="A109" s="93" t="s">
        <v>346</v>
      </c>
      <c r="B109" s="26"/>
      <c r="C109" s="68"/>
      <c r="D109" s="68"/>
      <c r="E109" s="84"/>
      <c r="F109" s="109"/>
      <c r="G109" s="84"/>
      <c r="H109" s="84"/>
      <c r="I109" s="82"/>
      <c r="J109" s="108"/>
      <c r="K109" s="95"/>
      <c r="L109" s="127"/>
      <c r="M109" s="135"/>
      <c r="N109" s="135"/>
      <c r="O109" s="135"/>
      <c r="P109" s="135"/>
    </row>
    <row r="110" spans="1:16" ht="13.5">
      <c r="A110" s="77" t="s">
        <v>325</v>
      </c>
      <c r="B110" s="77" t="s">
        <v>400</v>
      </c>
      <c r="C110" s="78">
        <v>1</v>
      </c>
      <c r="D110" s="89" t="s">
        <v>112</v>
      </c>
      <c r="E110" s="79"/>
      <c r="F110" s="106"/>
      <c r="G110" s="87"/>
      <c r="H110" s="79" t="s">
        <v>53</v>
      </c>
      <c r="I110" s="103">
        <f>(555*12.5)*1.08</f>
        <v>7492.500000000001</v>
      </c>
      <c r="J110" s="107"/>
      <c r="K110" s="132"/>
      <c r="L110" s="122"/>
      <c r="M110" s="133">
        <f>582*12.5</f>
        <v>7275</v>
      </c>
      <c r="N110" s="133"/>
      <c r="O110" s="133"/>
      <c r="P110" s="133"/>
    </row>
    <row r="111" spans="1:16" s="71" customFormat="1" ht="12">
      <c r="A111" s="96"/>
      <c r="B111" s="96"/>
      <c r="C111" s="97"/>
      <c r="D111" s="97"/>
      <c r="E111" s="87"/>
      <c r="F111" s="97"/>
      <c r="G111" s="90"/>
      <c r="H111" s="90"/>
      <c r="I111" s="125" t="s">
        <v>56</v>
      </c>
      <c r="J111" s="125"/>
      <c r="K111" s="75"/>
      <c r="L111" s="121"/>
      <c r="M111" s="121">
        <f>SUM(M110)</f>
        <v>7275</v>
      </c>
      <c r="N111" s="121"/>
      <c r="O111" s="121"/>
      <c r="P111" s="121"/>
    </row>
    <row r="112" spans="1:16" ht="13.5">
      <c r="A112" s="93" t="s">
        <v>348</v>
      </c>
      <c r="B112" s="26"/>
      <c r="C112" s="68"/>
      <c r="D112" s="68"/>
      <c r="E112" s="84"/>
      <c r="F112" s="109"/>
      <c r="G112" s="84"/>
      <c r="H112" s="84"/>
      <c r="I112" s="82"/>
      <c r="J112" s="108"/>
      <c r="K112"/>
      <c r="L112" s="134"/>
      <c r="M112" s="134"/>
      <c r="N112" s="134"/>
      <c r="O112" s="134"/>
      <c r="P112" s="134"/>
    </row>
    <row r="113" spans="1:16" ht="13.5">
      <c r="A113" s="76" t="s">
        <v>325</v>
      </c>
      <c r="B113" s="77" t="s">
        <v>401</v>
      </c>
      <c r="C113" s="78">
        <v>3</v>
      </c>
      <c r="D113" s="78"/>
      <c r="E113" s="79"/>
      <c r="F113" s="106"/>
      <c r="G113" s="87"/>
      <c r="H113" s="79" t="s">
        <v>113</v>
      </c>
      <c r="I113" s="103">
        <f>(565*12.5)*1.08</f>
        <v>7627.500000000001</v>
      </c>
      <c r="J113" s="107"/>
      <c r="K113" s="77"/>
      <c r="L113" s="139"/>
      <c r="M113" s="133">
        <f>(374*3)*12.5</f>
        <v>14025</v>
      </c>
      <c r="N113" s="133"/>
      <c r="O113" s="133"/>
      <c r="P113" s="133"/>
    </row>
    <row r="114" spans="1:16" ht="13.5">
      <c r="A114" s="76" t="s">
        <v>347</v>
      </c>
      <c r="B114" s="76" t="s">
        <v>402</v>
      </c>
      <c r="C114" s="78">
        <v>8</v>
      </c>
      <c r="D114" s="78" t="s">
        <v>45</v>
      </c>
      <c r="E114" s="81"/>
      <c r="F114" s="78" t="s">
        <v>47</v>
      </c>
      <c r="G114" s="81"/>
      <c r="H114" s="79" t="s">
        <v>42</v>
      </c>
      <c r="I114" s="80">
        <v>659.61</v>
      </c>
      <c r="J114" s="107">
        <f>I114*C114</f>
        <v>5276.88</v>
      </c>
      <c r="K114" s="77"/>
      <c r="L114" s="133"/>
      <c r="M114" s="122"/>
      <c r="N114" s="122"/>
      <c r="O114" s="122"/>
      <c r="P114" s="122"/>
    </row>
    <row r="115" spans="1:16" s="71" customFormat="1" ht="12">
      <c r="A115" s="96"/>
      <c r="B115" s="96"/>
      <c r="C115" s="97"/>
      <c r="D115" s="97"/>
      <c r="E115" s="87"/>
      <c r="F115" s="97"/>
      <c r="G115" s="90"/>
      <c r="H115" s="90"/>
      <c r="I115" s="125" t="s">
        <v>56</v>
      </c>
      <c r="J115" s="125">
        <f>SUM(J113:J114)</f>
        <v>5276.88</v>
      </c>
      <c r="K115" s="75"/>
      <c r="L115" s="121"/>
      <c r="M115" s="121">
        <f>SUM(M113:M114)</f>
        <v>14025</v>
      </c>
      <c r="N115" s="121"/>
      <c r="O115" s="121"/>
      <c r="P115" s="121"/>
    </row>
    <row r="116" spans="1:16" s="71" customFormat="1" ht="13.5">
      <c r="A116" s="93" t="s">
        <v>349</v>
      </c>
      <c r="B116" s="26"/>
      <c r="C116" s="68"/>
      <c r="D116" s="68"/>
      <c r="E116" s="84"/>
      <c r="F116" s="109"/>
      <c r="G116" s="84"/>
      <c r="H116" s="84"/>
      <c r="I116" s="82"/>
      <c r="J116" s="108"/>
      <c r="K116"/>
      <c r="L116" s="134"/>
      <c r="M116" s="134"/>
      <c r="N116" s="134"/>
      <c r="O116" s="134"/>
      <c r="P116" s="134"/>
    </row>
    <row r="117" spans="1:16" ht="13.5">
      <c r="A117" s="77" t="s">
        <v>350</v>
      </c>
      <c r="B117" s="77" t="s">
        <v>404</v>
      </c>
      <c r="C117" s="78">
        <v>6</v>
      </c>
      <c r="D117" s="89" t="s">
        <v>114</v>
      </c>
      <c r="E117" s="79"/>
      <c r="F117" s="106" t="s">
        <v>45</v>
      </c>
      <c r="G117" s="87"/>
      <c r="H117" s="79" t="s">
        <v>113</v>
      </c>
      <c r="I117" s="103">
        <f>(565*12.5)*1.08</f>
        <v>7627.500000000001</v>
      </c>
      <c r="J117" s="107"/>
      <c r="K117" s="138"/>
      <c r="L117" s="133"/>
      <c r="M117" s="133">
        <f>(420*6)*12.5</f>
        <v>31500</v>
      </c>
      <c r="N117" s="133"/>
      <c r="O117" s="133"/>
      <c r="P117" s="133"/>
    </row>
    <row r="118" spans="1:16" ht="13.5">
      <c r="A118" s="77" t="s">
        <v>351</v>
      </c>
      <c r="B118" s="77" t="s">
        <v>403</v>
      </c>
      <c r="C118" s="78">
        <v>1</v>
      </c>
      <c r="D118" s="89" t="s">
        <v>115</v>
      </c>
      <c r="E118" s="79"/>
      <c r="F118" s="78" t="s">
        <v>45</v>
      </c>
      <c r="G118" s="90"/>
      <c r="H118" s="81" t="s">
        <v>113</v>
      </c>
      <c r="I118" s="103">
        <f>(615*12.5)*1.08</f>
        <v>8302.5</v>
      </c>
      <c r="J118" s="107"/>
      <c r="K118" s="131"/>
      <c r="L118" s="133"/>
      <c r="M118" s="139">
        <f>(1038*12.5)</f>
        <v>12975</v>
      </c>
      <c r="N118" s="139"/>
      <c r="O118" s="139"/>
      <c r="P118" s="139"/>
    </row>
    <row r="119" spans="1:16" ht="13.5">
      <c r="A119" s="96"/>
      <c r="B119" s="96"/>
      <c r="C119" s="97"/>
      <c r="D119" s="97"/>
      <c r="E119" s="87"/>
      <c r="F119" s="97"/>
      <c r="G119" s="90"/>
      <c r="H119" s="90"/>
      <c r="I119" s="125" t="s">
        <v>56</v>
      </c>
      <c r="J119" s="125"/>
      <c r="K119" s="75"/>
      <c r="L119" s="121"/>
      <c r="M119" s="121">
        <f>SUM(M117:M118)</f>
        <v>44475</v>
      </c>
      <c r="N119" s="121"/>
      <c r="O119" s="121"/>
      <c r="P119" s="121"/>
    </row>
    <row r="120" spans="1:16" ht="13.5">
      <c r="A120" s="93" t="s">
        <v>352</v>
      </c>
      <c r="B120" s="26"/>
      <c r="C120" s="68"/>
      <c r="D120" s="68"/>
      <c r="E120" s="84"/>
      <c r="F120" s="109"/>
      <c r="G120" s="84"/>
      <c r="H120" s="84"/>
      <c r="I120" s="82"/>
      <c r="J120" s="108"/>
      <c r="K120"/>
      <c r="L120" s="134"/>
      <c r="M120" s="134"/>
      <c r="N120" s="134"/>
      <c r="O120" s="134"/>
      <c r="P120" s="134"/>
    </row>
    <row r="121" spans="1:16" s="26" customFormat="1" ht="13.5">
      <c r="A121" s="77" t="s">
        <v>353</v>
      </c>
      <c r="B121" s="77" t="s">
        <v>405</v>
      </c>
      <c r="C121" s="78">
        <v>15</v>
      </c>
      <c r="D121" s="89" t="s">
        <v>116</v>
      </c>
      <c r="E121" s="79"/>
      <c r="F121" s="106" t="s">
        <v>45</v>
      </c>
      <c r="G121" s="87"/>
      <c r="H121" s="79" t="s">
        <v>117</v>
      </c>
      <c r="I121" s="103">
        <v>8530</v>
      </c>
      <c r="J121" s="107"/>
      <c r="K121" s="132"/>
      <c r="L121" s="133"/>
      <c r="M121" s="133"/>
      <c r="N121" s="133"/>
      <c r="O121" s="133">
        <v>127950</v>
      </c>
      <c r="P121" s="133"/>
    </row>
    <row r="122" spans="1:16" s="26" customFormat="1" ht="13.5">
      <c r="A122" s="77" t="s">
        <v>354</v>
      </c>
      <c r="B122" s="77" t="s">
        <v>406</v>
      </c>
      <c r="C122" s="78">
        <v>10</v>
      </c>
      <c r="D122" s="78"/>
      <c r="E122" s="79"/>
      <c r="F122" s="78" t="s">
        <v>45</v>
      </c>
      <c r="G122" s="90"/>
      <c r="H122" s="81" t="s">
        <v>117</v>
      </c>
      <c r="I122" s="103">
        <v>4680</v>
      </c>
      <c r="J122" s="107"/>
      <c r="K122" s="132"/>
      <c r="L122" s="133"/>
      <c r="M122" s="133"/>
      <c r="N122" s="133"/>
      <c r="O122" s="133">
        <v>46800</v>
      </c>
      <c r="P122" s="133"/>
    </row>
    <row r="123" spans="1:16" s="71" customFormat="1" ht="12">
      <c r="A123" s="96"/>
      <c r="B123" s="96"/>
      <c r="C123" s="97"/>
      <c r="D123" s="97"/>
      <c r="E123" s="87"/>
      <c r="F123" s="97"/>
      <c r="G123" s="90"/>
      <c r="H123" s="90"/>
      <c r="I123" s="125" t="s">
        <v>56</v>
      </c>
      <c r="J123" s="125"/>
      <c r="K123" s="75">
        <f>SUM(K121:K122)</f>
        <v>0</v>
      </c>
      <c r="L123" s="121"/>
      <c r="M123" s="121"/>
      <c r="N123" s="121"/>
      <c r="O123" s="121">
        <f>SUM(O121:O122)</f>
        <v>174750</v>
      </c>
      <c r="P123" s="121"/>
    </row>
    <row r="124" spans="1:16" s="71" customFormat="1" ht="13.5">
      <c r="A124" s="93" t="s">
        <v>355</v>
      </c>
      <c r="B124" s="26"/>
      <c r="C124" s="68"/>
      <c r="D124" s="68"/>
      <c r="E124" s="84"/>
      <c r="F124" s="109"/>
      <c r="G124" s="84"/>
      <c r="H124" s="84"/>
      <c r="I124" s="82"/>
      <c r="J124" s="108"/>
      <c r="K124"/>
      <c r="L124" s="134"/>
      <c r="M124" s="134"/>
      <c r="N124" s="134"/>
      <c r="O124" s="134"/>
      <c r="P124" s="134"/>
    </row>
    <row r="125" spans="1:16" ht="13.5">
      <c r="A125" s="77" t="s">
        <v>356</v>
      </c>
      <c r="B125" s="77" t="s">
        <v>407</v>
      </c>
      <c r="C125" s="78">
        <v>2</v>
      </c>
      <c r="D125" s="78"/>
      <c r="E125" s="79"/>
      <c r="F125" s="106"/>
      <c r="G125" s="87"/>
      <c r="H125" s="79" t="s">
        <v>53</v>
      </c>
      <c r="I125" s="103">
        <f>(489*12.5)*1.08</f>
        <v>6601.5</v>
      </c>
      <c r="J125" s="107"/>
      <c r="K125" s="151"/>
      <c r="L125" s="122"/>
      <c r="M125" s="133"/>
      <c r="N125" s="133"/>
      <c r="O125" s="133"/>
      <c r="P125" s="133"/>
    </row>
    <row r="126" spans="1:16" ht="13.5">
      <c r="A126" s="77" t="s">
        <v>357</v>
      </c>
      <c r="B126" s="76" t="s">
        <v>297</v>
      </c>
      <c r="C126" s="78">
        <v>1</v>
      </c>
      <c r="D126" s="78"/>
      <c r="E126" s="79"/>
      <c r="F126" s="78"/>
      <c r="G126" s="90"/>
      <c r="H126" s="79" t="s">
        <v>53</v>
      </c>
      <c r="I126" s="103">
        <f>(525*12.5)*1.08</f>
        <v>7087.500000000001</v>
      </c>
      <c r="J126" s="107"/>
      <c r="K126" s="151"/>
      <c r="L126" s="122"/>
      <c r="M126" s="133">
        <v>4000</v>
      </c>
      <c r="N126" s="133"/>
      <c r="O126" s="133"/>
      <c r="P126" s="133"/>
    </row>
    <row r="127" spans="1:16" ht="13.5">
      <c r="A127" s="96"/>
      <c r="B127" s="96"/>
      <c r="C127" s="97"/>
      <c r="D127" s="97"/>
      <c r="E127" s="87"/>
      <c r="F127" s="97"/>
      <c r="G127" s="90"/>
      <c r="H127" s="90"/>
      <c r="I127" s="125" t="s">
        <v>56</v>
      </c>
      <c r="J127" s="125"/>
      <c r="K127" s="125">
        <f>SUM(K125:K126)</f>
        <v>0</v>
      </c>
      <c r="L127" s="125"/>
      <c r="M127" s="125">
        <f>SUM(M125:M126)</f>
        <v>4000</v>
      </c>
      <c r="N127" s="125"/>
      <c r="O127" s="121"/>
      <c r="P127" s="121"/>
    </row>
    <row r="128" spans="9:16" ht="13.5">
      <c r="I128" s="71"/>
      <c r="J128" s="104"/>
      <c r="K128"/>
      <c r="M128" s="134"/>
      <c r="N128" s="134"/>
      <c r="O128" s="134"/>
      <c r="P128" s="134"/>
    </row>
    <row r="129" spans="1:16" s="26" customFormat="1" ht="13.5">
      <c r="A129"/>
      <c r="B129"/>
      <c r="C129" s="1"/>
      <c r="D129" s="1"/>
      <c r="E129"/>
      <c r="F129" s="156"/>
      <c r="G129" s="1"/>
      <c r="H129" s="1"/>
      <c r="I129" s="71"/>
      <c r="J129" s="152">
        <f>J17+J26+J36+J43+J58+J61+J64+J76+J87+J90+J100+J105+J108+J111+J115+J119+J123+J127</f>
        <v>219840</v>
      </c>
      <c r="K129" s="152">
        <f aca="true" t="shared" si="3" ref="K129:P129">K17+K26+K36+K43+K58+K61+K64+K76+K87+K90+K100+K105+K108+K111+K115+K119+K123+K127</f>
        <v>0</v>
      </c>
      <c r="L129" s="152">
        <f t="shared" si="3"/>
        <v>255217.25</v>
      </c>
      <c r="M129" s="152">
        <f t="shared" si="3"/>
        <v>90907.75</v>
      </c>
      <c r="N129" s="152">
        <f t="shared" si="3"/>
        <v>5518</v>
      </c>
      <c r="O129" s="152">
        <f t="shared" si="3"/>
        <v>174750</v>
      </c>
      <c r="P129" s="152">
        <f t="shared" si="3"/>
        <v>3247.08</v>
      </c>
    </row>
    <row r="130" spans="1:17" s="26" customFormat="1" ht="13.5">
      <c r="A130"/>
      <c r="B130"/>
      <c r="C130" s="1"/>
      <c r="D130" s="1"/>
      <c r="E130"/>
      <c r="F130" s="156"/>
      <c r="G130" s="1"/>
      <c r="H130" s="1"/>
      <c r="I130" s="71" t="s">
        <v>142</v>
      </c>
      <c r="J130" s="153">
        <f>J129*0.11</f>
        <v>24182.4</v>
      </c>
      <c r="K130" s="153">
        <f aca="true" t="shared" si="4" ref="K130:P130">K129*0.11</f>
        <v>0</v>
      </c>
      <c r="L130" s="153">
        <f t="shared" si="4"/>
        <v>28073.8975</v>
      </c>
      <c r="M130" s="153">
        <f t="shared" si="4"/>
        <v>9999.8525</v>
      </c>
      <c r="N130" s="153">
        <f t="shared" si="4"/>
        <v>606.98</v>
      </c>
      <c r="O130" s="153">
        <f t="shared" si="4"/>
        <v>19222.5</v>
      </c>
      <c r="P130" s="153">
        <f t="shared" si="4"/>
        <v>357.17879999999997</v>
      </c>
      <c r="Q130" s="153"/>
    </row>
    <row r="131" spans="1:17" s="71" customFormat="1" ht="13.5">
      <c r="A131"/>
      <c r="B131"/>
      <c r="C131" s="1"/>
      <c r="D131" s="1"/>
      <c r="E131"/>
      <c r="F131" s="156"/>
      <c r="G131" s="1"/>
      <c r="H131" s="1"/>
      <c r="I131" s="71" t="s">
        <v>56</v>
      </c>
      <c r="J131" s="153">
        <f>SUM(J129:J130)</f>
        <v>244022.4</v>
      </c>
      <c r="K131" s="153">
        <f aca="true" t="shared" si="5" ref="K131:P131">SUM(K129:K130)</f>
        <v>0</v>
      </c>
      <c r="L131" s="153">
        <f t="shared" si="5"/>
        <v>283291.1475</v>
      </c>
      <c r="M131" s="153">
        <f t="shared" si="5"/>
        <v>100907.60250000001</v>
      </c>
      <c r="N131" s="153">
        <f t="shared" si="5"/>
        <v>6124.98</v>
      </c>
      <c r="O131" s="153">
        <f t="shared" si="5"/>
        <v>193972.5</v>
      </c>
      <c r="P131" s="153">
        <f t="shared" si="5"/>
        <v>3604.2588</v>
      </c>
      <c r="Q131" s="153"/>
    </row>
    <row r="132" spans="1:16" s="71" customFormat="1" ht="13.5">
      <c r="A132"/>
      <c r="B132"/>
      <c r="C132" s="1"/>
      <c r="D132" s="1"/>
      <c r="E132"/>
      <c r="F132" s="156"/>
      <c r="G132" s="1"/>
      <c r="H132" s="1"/>
      <c r="I132"/>
      <c r="J132" s="70"/>
      <c r="K132" s="70"/>
      <c r="L132" s="114"/>
      <c r="M132" s="134"/>
      <c r="N132" s="134"/>
      <c r="O132" s="134"/>
      <c r="P132" s="134"/>
    </row>
    <row r="133" spans="12:14" ht="13.5">
      <c r="L133" s="83">
        <f>SUM(J129:Q129)</f>
        <v>749480.08</v>
      </c>
      <c r="M133" s="26" t="s">
        <v>56</v>
      </c>
      <c r="N133" s="26"/>
    </row>
    <row r="134" spans="12:14" ht="13.5">
      <c r="L134" s="153">
        <f>L133*0.11</f>
        <v>82442.8088</v>
      </c>
      <c r="M134" s="26" t="s">
        <v>358</v>
      </c>
      <c r="N134" s="26"/>
    </row>
    <row r="135" spans="12:14" ht="13.5">
      <c r="L135" s="153">
        <f>SUM(L133:L134)</f>
        <v>831922.8888</v>
      </c>
      <c r="M135" s="71" t="s">
        <v>359</v>
      </c>
      <c r="N135" s="71"/>
    </row>
    <row r="136" spans="12:14" ht="13.5">
      <c r="L136" s="154">
        <f>L135/12.5</f>
        <v>66553.831104</v>
      </c>
      <c r="M136" s="71"/>
      <c r="N136" s="71"/>
    </row>
    <row r="137" spans="1:16" s="26" customFormat="1" ht="13.5">
      <c r="A137"/>
      <c r="B137"/>
      <c r="C137" s="1"/>
      <c r="D137" s="1"/>
      <c r="E137"/>
      <c r="F137" s="156"/>
      <c r="G137" s="1"/>
      <c r="H137" s="1"/>
      <c r="I137"/>
      <c r="J137" s="70"/>
      <c r="K137" s="70"/>
      <c r="L137" s="114"/>
      <c r="M137" s="71" t="s">
        <v>360</v>
      </c>
      <c r="N137" s="114"/>
      <c r="O137" s="114"/>
      <c r="P137" s="114"/>
    </row>
    <row r="138" spans="1:16" s="26" customFormat="1" ht="13.5">
      <c r="A138"/>
      <c r="B138"/>
      <c r="C138" s="1"/>
      <c r="D138" s="1"/>
      <c r="E138"/>
      <c r="F138" s="156"/>
      <c r="G138" s="1"/>
      <c r="H138" s="1"/>
      <c r="I138"/>
      <c r="J138" s="70"/>
      <c r="K138" s="70"/>
      <c r="L138" s="114"/>
      <c r="M138" s="114"/>
      <c r="N138" s="114"/>
      <c r="O138" s="114"/>
      <c r="P138" s="114"/>
    </row>
    <row r="139" spans="1:16" s="26" customFormat="1" ht="13.5">
      <c r="A139"/>
      <c r="B139"/>
      <c r="C139" s="1"/>
      <c r="D139" s="1"/>
      <c r="E139"/>
      <c r="F139" s="156"/>
      <c r="G139" s="1"/>
      <c r="H139" s="1"/>
      <c r="I139"/>
      <c r="J139" s="70"/>
      <c r="K139" s="70"/>
      <c r="L139" s="114"/>
      <c r="M139" s="114"/>
      <c r="N139" s="114"/>
      <c r="O139" s="114"/>
      <c r="P139" s="114"/>
    </row>
    <row r="140" spans="1:16" s="71" customFormat="1" ht="13.5">
      <c r="A140"/>
      <c r="B140"/>
      <c r="C140" s="1"/>
      <c r="D140" s="1"/>
      <c r="E140"/>
      <c r="F140" s="156"/>
      <c r="G140" s="1"/>
      <c r="H140" s="1"/>
      <c r="I140"/>
      <c r="J140" s="70"/>
      <c r="K140" s="70"/>
      <c r="L140" s="114"/>
      <c r="M140" s="114"/>
      <c r="N140" s="114"/>
      <c r="O140" s="114"/>
      <c r="P140" s="114"/>
    </row>
    <row r="141" spans="1:16" s="71" customFormat="1" ht="13.5">
      <c r="A141"/>
      <c r="B141"/>
      <c r="C141" s="1"/>
      <c r="D141" s="1"/>
      <c r="E141"/>
      <c r="F141" s="156"/>
      <c r="G141" s="1"/>
      <c r="H141" s="1"/>
      <c r="I141"/>
      <c r="J141" s="70"/>
      <c r="K141" s="70"/>
      <c r="L141" s="114"/>
      <c r="M141" s="114"/>
      <c r="N141" s="114"/>
      <c r="O141" s="114"/>
      <c r="P141" s="114"/>
    </row>
    <row r="146" spans="1:16" s="26" customFormat="1" ht="13.5">
      <c r="A146"/>
      <c r="B146"/>
      <c r="C146" s="1"/>
      <c r="D146" s="1"/>
      <c r="E146"/>
      <c r="F146" s="156"/>
      <c r="G146" s="1"/>
      <c r="H146" s="1"/>
      <c r="I146"/>
      <c r="J146" s="70"/>
      <c r="K146" s="70"/>
      <c r="L146" s="114"/>
      <c r="M146" s="114"/>
      <c r="N146" s="114"/>
      <c r="O146" s="114"/>
      <c r="P146" s="114"/>
    </row>
    <row r="147" spans="1:16" s="26" customFormat="1" ht="13.5">
      <c r="A147"/>
      <c r="B147"/>
      <c r="C147" s="1"/>
      <c r="D147" s="1"/>
      <c r="E147"/>
      <c r="F147" s="156"/>
      <c r="G147" s="1"/>
      <c r="H147" s="1"/>
      <c r="I147"/>
      <c r="J147" s="70"/>
      <c r="K147" s="70"/>
      <c r="L147" s="114"/>
      <c r="M147" s="114"/>
      <c r="N147" s="114"/>
      <c r="O147" s="114"/>
      <c r="P147" s="114"/>
    </row>
    <row r="148" spans="1:16" s="26" customFormat="1" ht="13.5">
      <c r="A148"/>
      <c r="B148"/>
      <c r="C148" s="1"/>
      <c r="D148" s="1"/>
      <c r="E148"/>
      <c r="F148" s="156"/>
      <c r="G148" s="1"/>
      <c r="H148" s="1"/>
      <c r="I148"/>
      <c r="J148" s="70"/>
      <c r="K148" s="70"/>
      <c r="L148" s="114"/>
      <c r="M148" s="114"/>
      <c r="N148" s="114"/>
      <c r="O148" s="114"/>
      <c r="P148" s="114"/>
    </row>
    <row r="149" spans="1:16" s="71" customFormat="1" ht="13.5">
      <c r="A149"/>
      <c r="B149"/>
      <c r="C149" s="1"/>
      <c r="D149" s="1"/>
      <c r="E149"/>
      <c r="F149" s="156"/>
      <c r="G149" s="1"/>
      <c r="H149" s="1"/>
      <c r="I149"/>
      <c r="J149" s="70"/>
      <c r="K149" s="70"/>
      <c r="L149" s="114"/>
      <c r="M149" s="114"/>
      <c r="N149" s="114"/>
      <c r="O149" s="114"/>
      <c r="P149" s="114"/>
    </row>
    <row r="150" spans="1:16" s="26" customFormat="1" ht="13.5">
      <c r="A150"/>
      <c r="B150"/>
      <c r="C150" s="1"/>
      <c r="D150" s="1"/>
      <c r="E150"/>
      <c r="F150" s="156"/>
      <c r="G150" s="1"/>
      <c r="H150" s="1"/>
      <c r="I150"/>
      <c r="J150" s="70"/>
      <c r="K150" s="70"/>
      <c r="L150" s="114"/>
      <c r="M150" s="114"/>
      <c r="N150" s="114"/>
      <c r="O150" s="114"/>
      <c r="P150" s="114"/>
    </row>
    <row r="155" spans="1:16" s="26" customFormat="1" ht="13.5">
      <c r="A155"/>
      <c r="B155"/>
      <c r="C155" s="1"/>
      <c r="D155" s="1"/>
      <c r="E155"/>
      <c r="F155" s="156"/>
      <c r="G155" s="1"/>
      <c r="H155" s="1"/>
      <c r="I155"/>
      <c r="J155" s="70"/>
      <c r="K155" s="70"/>
      <c r="L155" s="114"/>
      <c r="M155" s="114"/>
      <c r="N155" s="114"/>
      <c r="O155" s="114"/>
      <c r="P155" s="114"/>
    </row>
    <row r="156" spans="1:16" s="26" customFormat="1" ht="13.5">
      <c r="A156"/>
      <c r="B156"/>
      <c r="C156" s="1"/>
      <c r="D156" s="1"/>
      <c r="E156"/>
      <c r="F156" s="156"/>
      <c r="G156" s="1"/>
      <c r="H156" s="1"/>
      <c r="I156"/>
      <c r="J156" s="70"/>
      <c r="K156" s="70"/>
      <c r="L156" s="114"/>
      <c r="M156" s="114"/>
      <c r="N156" s="114"/>
      <c r="O156" s="114"/>
      <c r="P156" s="114"/>
    </row>
    <row r="157" spans="1:16" s="26" customFormat="1" ht="13.5">
      <c r="A157"/>
      <c r="B157"/>
      <c r="C157" s="1"/>
      <c r="D157" s="1"/>
      <c r="E157"/>
      <c r="F157" s="156"/>
      <c r="G157" s="1"/>
      <c r="H157" s="1"/>
      <c r="I157"/>
      <c r="J157" s="70"/>
      <c r="K157" s="70"/>
      <c r="L157" s="114"/>
      <c r="M157" s="114"/>
      <c r="N157" s="114"/>
      <c r="O157" s="114"/>
      <c r="P157" s="114"/>
    </row>
    <row r="158" spans="1:16" s="71" customFormat="1" ht="13.5">
      <c r="A158"/>
      <c r="B158"/>
      <c r="C158" s="1"/>
      <c r="D158" s="1"/>
      <c r="E158"/>
      <c r="F158" s="156"/>
      <c r="G158" s="1"/>
      <c r="H158" s="1"/>
      <c r="I158"/>
      <c r="J158" s="70"/>
      <c r="K158" s="70"/>
      <c r="L158" s="114"/>
      <c r="M158" s="114"/>
      <c r="N158" s="114"/>
      <c r="O158" s="114"/>
      <c r="P158" s="114"/>
    </row>
    <row r="159" spans="1:16" s="71" customFormat="1" ht="13.5">
      <c r="A159"/>
      <c r="B159"/>
      <c r="C159" s="1"/>
      <c r="D159" s="1"/>
      <c r="E159"/>
      <c r="F159" s="156"/>
      <c r="G159" s="1"/>
      <c r="H159" s="1"/>
      <c r="I159"/>
      <c r="J159" s="70"/>
      <c r="K159" s="70"/>
      <c r="L159" s="114"/>
      <c r="M159" s="114"/>
      <c r="N159" s="114"/>
      <c r="O159" s="114"/>
      <c r="P159" s="114"/>
    </row>
    <row r="160" spans="1:16" s="71" customFormat="1" ht="13.5">
      <c r="A160"/>
      <c r="B160"/>
      <c r="C160" s="1"/>
      <c r="D160" s="1"/>
      <c r="E160"/>
      <c r="F160" s="156"/>
      <c r="G160" s="1"/>
      <c r="H160" s="1"/>
      <c r="I160"/>
      <c r="J160" s="70"/>
      <c r="K160" s="70"/>
      <c r="L160" s="114"/>
      <c r="M160" s="114"/>
      <c r="N160" s="114"/>
      <c r="O160" s="114"/>
      <c r="P160" s="114"/>
    </row>
    <row r="166" spans="1:16" s="26" customFormat="1" ht="13.5">
      <c r="A166"/>
      <c r="B166"/>
      <c r="C166" s="1"/>
      <c r="D166" s="1"/>
      <c r="E166"/>
      <c r="F166" s="156"/>
      <c r="G166" s="1"/>
      <c r="H166" s="1"/>
      <c r="I166"/>
      <c r="J166" s="70"/>
      <c r="K166" s="70"/>
      <c r="L166" s="114"/>
      <c r="M166" s="114"/>
      <c r="N166" s="114"/>
      <c r="O166" s="114"/>
      <c r="P166" s="114"/>
    </row>
    <row r="172" spans="1:16" s="26" customFormat="1" ht="13.5">
      <c r="A172"/>
      <c r="B172"/>
      <c r="C172" s="1"/>
      <c r="D172" s="1"/>
      <c r="E172"/>
      <c r="F172" s="156"/>
      <c r="G172" s="1"/>
      <c r="H172" s="1"/>
      <c r="I172"/>
      <c r="J172" s="70"/>
      <c r="K172" s="70"/>
      <c r="L172" s="114"/>
      <c r="M172" s="114"/>
      <c r="N172" s="114"/>
      <c r="O172" s="114"/>
      <c r="P172" s="114"/>
    </row>
    <row r="186" spans="1:16" s="26" customFormat="1" ht="13.5">
      <c r="A186"/>
      <c r="B186"/>
      <c r="C186" s="1"/>
      <c r="D186" s="1"/>
      <c r="E186"/>
      <c r="F186" s="156"/>
      <c r="G186" s="1"/>
      <c r="H186" s="1"/>
      <c r="I186"/>
      <c r="J186" s="70"/>
      <c r="K186" s="70"/>
      <c r="L186" s="114"/>
      <c r="M186" s="114"/>
      <c r="N186" s="114"/>
      <c r="O186" s="114"/>
      <c r="P186" s="114"/>
    </row>
    <row r="192" spans="1:16" s="26" customFormat="1" ht="13.5">
      <c r="A192"/>
      <c r="B192"/>
      <c r="C192" s="1"/>
      <c r="D192" s="1"/>
      <c r="E192"/>
      <c r="F192" s="156"/>
      <c r="G192" s="1"/>
      <c r="H192" s="1"/>
      <c r="I192"/>
      <c r="J192" s="70"/>
      <c r="K192" s="70"/>
      <c r="L192" s="114"/>
      <c r="M192" s="114"/>
      <c r="N192" s="114"/>
      <c r="O192" s="114"/>
      <c r="P192" s="114"/>
    </row>
    <row r="193" spans="1:16" s="26" customFormat="1" ht="13.5">
      <c r="A193"/>
      <c r="B193"/>
      <c r="C193" s="1"/>
      <c r="D193" s="1"/>
      <c r="E193"/>
      <c r="F193" s="156"/>
      <c r="G193" s="1"/>
      <c r="H193" s="1"/>
      <c r="I193"/>
      <c r="J193" s="70"/>
      <c r="K193" s="70"/>
      <c r="L193" s="114"/>
      <c r="M193" s="114"/>
      <c r="N193" s="114"/>
      <c r="O193" s="114"/>
      <c r="P193" s="114"/>
    </row>
  </sheetData>
  <sheetProtection/>
  <mergeCells count="3">
    <mergeCell ref="A3:I3"/>
    <mergeCell ref="J3:P3"/>
    <mergeCell ref="A4:I4"/>
  </mergeCells>
  <hyperlinks>
    <hyperlink ref="G13" r:id="rId1" display="Foto Muebles\Estacion maestros.JPG"/>
  </hyperlinks>
  <printOptions/>
  <pageMargins left="0.7" right="0.7" top="0.23" bottom="0.17" header="0.2" footer="0.17"/>
  <pageSetup horizontalDpi="600" verticalDpi="600" orientation="portrait" scale="40"/>
  <rowBreaks count="1" manualBreakCount="1">
    <brk id="13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3"/>
  <sheetViews>
    <sheetView workbookViewId="0" topLeftCell="A124">
      <selection activeCell="B79" sqref="B79"/>
    </sheetView>
  </sheetViews>
  <sheetFormatPr defaultColWidth="9.140625" defaultRowHeight="15"/>
  <cols>
    <col min="1" max="1" width="25.8515625" style="0" customWidth="1"/>
    <col min="2" max="2" width="55.421875" style="0" bestFit="1" customWidth="1"/>
    <col min="3" max="3" width="11.28125" style="0" customWidth="1"/>
    <col min="4" max="4" width="11.140625" style="0" hidden="1" customWidth="1"/>
    <col min="5" max="5" width="12.00390625" style="0" hidden="1" customWidth="1"/>
    <col min="6" max="6" width="11.28125" style="0" customWidth="1"/>
    <col min="7" max="7" width="13.140625" style="0" customWidth="1"/>
    <col min="8" max="8" width="11.421875" style="0" bestFit="1" customWidth="1"/>
    <col min="9" max="9" width="11.00390625" style="0" bestFit="1" customWidth="1"/>
    <col min="10" max="10" width="9.140625" style="0" customWidth="1"/>
    <col min="11" max="11" width="11.00390625" style="0" bestFit="1" customWidth="1"/>
  </cols>
  <sheetData>
    <row r="1" spans="1:7" s="36" customFormat="1" ht="24.75">
      <c r="A1" s="475" t="s">
        <v>16</v>
      </c>
      <c r="B1" s="475"/>
      <c r="C1" s="475"/>
      <c r="D1" s="475"/>
      <c r="E1" s="475"/>
      <c r="F1" s="475"/>
      <c r="G1" s="475"/>
    </row>
    <row r="2" spans="1:7" ht="18">
      <c r="A2" s="476" t="s">
        <v>445</v>
      </c>
      <c r="B2" s="476"/>
      <c r="C2" s="476"/>
      <c r="D2" s="476"/>
      <c r="E2" s="476"/>
      <c r="F2" s="476"/>
      <c r="G2" s="476"/>
    </row>
    <row r="3" spans="1:7" ht="15">
      <c r="A3" s="474" t="s">
        <v>446</v>
      </c>
      <c r="B3" s="474"/>
      <c r="C3" s="474"/>
      <c r="D3" s="474"/>
      <c r="E3" s="474"/>
      <c r="F3" s="474"/>
      <c r="G3" s="474"/>
    </row>
    <row r="4" spans="1:7" ht="13.5">
      <c r="A4" s="462"/>
      <c r="B4" s="462"/>
      <c r="C4" s="462"/>
      <c r="D4" s="462"/>
      <c r="E4" s="462"/>
      <c r="F4" s="462"/>
      <c r="G4" s="462"/>
    </row>
    <row r="5" spans="1:7" s="37" customFormat="1" ht="13.5">
      <c r="A5" s="463" t="s">
        <v>460</v>
      </c>
      <c r="B5" s="464"/>
      <c r="C5" s="464"/>
      <c r="D5" s="464"/>
      <c r="E5" s="464"/>
      <c r="F5" s="464"/>
      <c r="G5" s="465"/>
    </row>
    <row r="6" spans="1:7" s="37" customFormat="1" ht="25.5">
      <c r="A6" s="38" t="s">
        <v>447</v>
      </c>
      <c r="B6" s="38" t="s">
        <v>448</v>
      </c>
      <c r="C6" s="38" t="s">
        <v>292</v>
      </c>
      <c r="D6" s="38" t="s">
        <v>17</v>
      </c>
      <c r="E6" s="38" t="s">
        <v>18</v>
      </c>
      <c r="F6" s="38" t="s">
        <v>449</v>
      </c>
      <c r="G6" s="38" t="s">
        <v>450</v>
      </c>
    </row>
    <row r="7" spans="1:11" s="37" customFormat="1" ht="16.5" customHeight="1">
      <c r="A7" s="39" t="s">
        <v>304</v>
      </c>
      <c r="B7" s="40"/>
      <c r="C7" s="41"/>
      <c r="D7" s="42"/>
      <c r="E7" s="42"/>
      <c r="F7" s="42"/>
      <c r="G7" s="42"/>
      <c r="H7" s="43"/>
      <c r="K7" s="43"/>
    </row>
    <row r="8" spans="1:11" s="37" customFormat="1" ht="14.25" customHeight="1">
      <c r="A8" s="44" t="s">
        <v>451</v>
      </c>
      <c r="B8" s="40" t="s">
        <v>19</v>
      </c>
      <c r="C8" s="41">
        <v>20</v>
      </c>
      <c r="D8" s="42">
        <v>584</v>
      </c>
      <c r="E8" s="42">
        <f>C8*D8</f>
        <v>11680</v>
      </c>
      <c r="F8" s="42">
        <v>835</v>
      </c>
      <c r="G8" s="42">
        <f>C8*F8</f>
        <v>16700</v>
      </c>
      <c r="H8" s="43"/>
      <c r="K8" s="43"/>
    </row>
    <row r="9" spans="1:11" s="37" customFormat="1" ht="14.25" customHeight="1">
      <c r="A9" s="44" t="s">
        <v>452</v>
      </c>
      <c r="B9" s="40" t="s">
        <v>20</v>
      </c>
      <c r="C9" s="41">
        <v>1</v>
      </c>
      <c r="D9" s="42"/>
      <c r="E9" s="42"/>
      <c r="F9" s="42">
        <v>725</v>
      </c>
      <c r="G9" s="42">
        <f>C9*F9</f>
        <v>725</v>
      </c>
      <c r="H9" s="43"/>
      <c r="K9" s="43"/>
    </row>
    <row r="10" spans="1:11" s="37" customFormat="1" ht="14.25" customHeight="1">
      <c r="A10" s="44" t="s">
        <v>453</v>
      </c>
      <c r="B10" s="45"/>
      <c r="C10" s="41">
        <v>1</v>
      </c>
      <c r="D10" s="42">
        <v>350</v>
      </c>
      <c r="E10" s="42">
        <f>C10*D10</f>
        <v>350</v>
      </c>
      <c r="F10" s="42">
        <v>350</v>
      </c>
      <c r="G10" s="42">
        <f>C10*F10</f>
        <v>350</v>
      </c>
      <c r="H10" s="43"/>
      <c r="K10" s="43"/>
    </row>
    <row r="11" spans="1:11" s="37" customFormat="1" ht="14.25" customHeight="1">
      <c r="A11" s="44" t="s">
        <v>454</v>
      </c>
      <c r="B11" s="45" t="s">
        <v>469</v>
      </c>
      <c r="C11" s="41">
        <v>1</v>
      </c>
      <c r="D11" s="42"/>
      <c r="E11" s="42"/>
      <c r="F11" s="42">
        <v>4502.54</v>
      </c>
      <c r="G11" s="42">
        <f>C11*F11</f>
        <v>4502.54</v>
      </c>
      <c r="H11" s="43"/>
      <c r="K11" s="43"/>
    </row>
    <row r="12" spans="1:11" s="37" customFormat="1" ht="14.25" customHeight="1">
      <c r="A12" s="44" t="s">
        <v>455</v>
      </c>
      <c r="B12" s="45" t="s">
        <v>470</v>
      </c>
      <c r="C12" s="41">
        <v>1</v>
      </c>
      <c r="D12" s="42"/>
      <c r="E12" s="42"/>
      <c r="F12" s="42">
        <v>815.38</v>
      </c>
      <c r="G12" s="42">
        <f>C12*F12</f>
        <v>815.38</v>
      </c>
      <c r="H12" s="43"/>
      <c r="K12" s="43"/>
    </row>
    <row r="13" spans="1:11" s="37" customFormat="1" ht="17.25" customHeight="1">
      <c r="A13" s="39" t="s">
        <v>295</v>
      </c>
      <c r="B13" s="45"/>
      <c r="C13" s="41"/>
      <c r="D13" s="42"/>
      <c r="E13" s="42"/>
      <c r="F13" s="42"/>
      <c r="G13" s="42"/>
      <c r="H13" s="43"/>
      <c r="K13" s="43"/>
    </row>
    <row r="14" spans="1:11" s="37" customFormat="1" ht="14.25" customHeight="1">
      <c r="A14" s="44" t="s">
        <v>452</v>
      </c>
      <c r="B14" s="40" t="s">
        <v>21</v>
      </c>
      <c r="C14" s="41">
        <v>1</v>
      </c>
      <c r="D14" s="42"/>
      <c r="E14" s="42"/>
      <c r="F14" s="42">
        <v>725</v>
      </c>
      <c r="G14" s="42">
        <f>C14*F14</f>
        <v>725</v>
      </c>
      <c r="H14" s="43"/>
      <c r="K14" s="43"/>
    </row>
    <row r="15" spans="1:11" s="37" customFormat="1" ht="14.25" customHeight="1">
      <c r="A15" s="44" t="s">
        <v>454</v>
      </c>
      <c r="B15" s="45" t="s">
        <v>469</v>
      </c>
      <c r="C15" s="41">
        <v>1</v>
      </c>
      <c r="D15" s="42">
        <v>3632.01</v>
      </c>
      <c r="E15" s="42">
        <f>C15*D15</f>
        <v>3632.01</v>
      </c>
      <c r="F15" s="42">
        <v>4502.54</v>
      </c>
      <c r="G15" s="42">
        <f>C15*F15</f>
        <v>4502.54</v>
      </c>
      <c r="H15" s="43"/>
      <c r="K15" s="43"/>
    </row>
    <row r="16" spans="1:11" s="37" customFormat="1" ht="14.25" customHeight="1">
      <c r="A16" s="44" t="s">
        <v>455</v>
      </c>
      <c r="B16" s="45" t="s">
        <v>470</v>
      </c>
      <c r="C16" s="41">
        <v>1</v>
      </c>
      <c r="D16" s="42">
        <v>411.28</v>
      </c>
      <c r="E16" s="42">
        <f>C16*D16</f>
        <v>411.28</v>
      </c>
      <c r="F16" s="42">
        <v>815.38</v>
      </c>
      <c r="G16" s="42">
        <f>C16*F16</f>
        <v>815.38</v>
      </c>
      <c r="H16" s="43"/>
      <c r="K16" s="43"/>
    </row>
    <row r="17" spans="1:8" s="37" customFormat="1" ht="13.5">
      <c r="A17" s="39" t="s">
        <v>307</v>
      </c>
      <c r="B17" s="40"/>
      <c r="C17" s="41"/>
      <c r="D17" s="42"/>
      <c r="E17" s="42"/>
      <c r="F17" s="42"/>
      <c r="G17" s="42"/>
      <c r="H17" s="43"/>
    </row>
    <row r="18" spans="1:8" s="37" customFormat="1" ht="13.5">
      <c r="A18" s="39" t="s">
        <v>456</v>
      </c>
      <c r="B18" s="40" t="s">
        <v>22</v>
      </c>
      <c r="C18" s="41">
        <v>4</v>
      </c>
      <c r="D18" s="42">
        <v>850</v>
      </c>
      <c r="E18" s="42">
        <f>C18*D18</f>
        <v>3400</v>
      </c>
      <c r="F18" s="42">
        <v>1035</v>
      </c>
      <c r="G18" s="42">
        <f>C18*F18</f>
        <v>4140</v>
      </c>
      <c r="H18" s="43"/>
    </row>
    <row r="19" spans="1:8" s="37" customFormat="1" ht="13.5">
      <c r="A19" s="44" t="s">
        <v>23</v>
      </c>
      <c r="B19" s="45"/>
      <c r="C19" s="41">
        <v>1</v>
      </c>
      <c r="D19" s="42">
        <v>200</v>
      </c>
      <c r="E19" s="42">
        <f>C19*D19</f>
        <v>200</v>
      </c>
      <c r="F19" s="42">
        <v>198</v>
      </c>
      <c r="G19" s="42">
        <f>C19*F19</f>
        <v>198</v>
      </c>
      <c r="H19" s="43"/>
    </row>
    <row r="20" spans="1:8" s="37" customFormat="1" ht="13.5">
      <c r="A20" s="44" t="s">
        <v>457</v>
      </c>
      <c r="B20" s="45"/>
      <c r="C20" s="41">
        <v>1</v>
      </c>
      <c r="D20" s="42">
        <v>800</v>
      </c>
      <c r="E20" s="42">
        <f>C20*D20</f>
        <v>800</v>
      </c>
      <c r="F20" s="42">
        <v>805</v>
      </c>
      <c r="G20" s="42">
        <f>C20*F20</f>
        <v>805</v>
      </c>
      <c r="H20" s="43"/>
    </row>
    <row r="21" spans="1:8" s="37" customFormat="1" ht="13.5">
      <c r="A21" s="44" t="s">
        <v>458</v>
      </c>
      <c r="B21" s="45"/>
      <c r="C21" s="41">
        <v>1</v>
      </c>
      <c r="D21" s="42"/>
      <c r="E21" s="42"/>
      <c r="F21" s="42">
        <v>35</v>
      </c>
      <c r="G21" s="42">
        <f>C21*F21</f>
        <v>35</v>
      </c>
      <c r="H21" s="43"/>
    </row>
    <row r="22" spans="1:8" s="37" customFormat="1" ht="13.5">
      <c r="A22" s="44" t="s">
        <v>24</v>
      </c>
      <c r="B22" s="45"/>
      <c r="C22" s="41">
        <v>1</v>
      </c>
      <c r="D22" s="42">
        <v>500</v>
      </c>
      <c r="E22" s="42">
        <f>C22*D22</f>
        <v>500</v>
      </c>
      <c r="F22" s="42">
        <v>515</v>
      </c>
      <c r="G22" s="42">
        <f>C22*F22</f>
        <v>515</v>
      </c>
      <c r="H22" s="43"/>
    </row>
    <row r="23" spans="1:8" s="37" customFormat="1" ht="13.5">
      <c r="A23" s="46" t="s">
        <v>459</v>
      </c>
      <c r="C23" s="41">
        <v>4</v>
      </c>
      <c r="D23" s="42">
        <v>270</v>
      </c>
      <c r="E23" s="42">
        <f>C23*D23</f>
        <v>1080</v>
      </c>
      <c r="F23" s="42">
        <v>185</v>
      </c>
      <c r="G23" s="42">
        <f>C23*F23</f>
        <v>740</v>
      </c>
      <c r="H23" s="43"/>
    </row>
    <row r="24" spans="1:8" s="37" customFormat="1" ht="13.5">
      <c r="A24" s="39" t="s">
        <v>461</v>
      </c>
      <c r="B24" s="40"/>
      <c r="C24" s="41"/>
      <c r="D24" s="42"/>
      <c r="E24" s="42"/>
      <c r="F24" s="42"/>
      <c r="G24" s="42"/>
      <c r="H24" s="43"/>
    </row>
    <row r="25" spans="1:8" s="37" customFormat="1" ht="13.5">
      <c r="A25" s="44" t="s">
        <v>462</v>
      </c>
      <c r="B25" s="45"/>
      <c r="C25" s="41">
        <v>1</v>
      </c>
      <c r="D25" s="42"/>
      <c r="E25" s="42"/>
      <c r="F25" s="42">
        <f>405+135+150</f>
        <v>690</v>
      </c>
      <c r="G25" s="42">
        <f>C25*F25</f>
        <v>690</v>
      </c>
      <c r="H25" s="43"/>
    </row>
    <row r="26" spans="1:8" s="37" customFormat="1" ht="13.5">
      <c r="A26" s="44" t="s">
        <v>463</v>
      </c>
      <c r="B26" s="45"/>
      <c r="C26" s="41">
        <v>1</v>
      </c>
      <c r="D26" s="42"/>
      <c r="E26" s="42"/>
      <c r="F26" s="42">
        <v>165</v>
      </c>
      <c r="G26" s="42">
        <f>C26*F26</f>
        <v>165</v>
      </c>
      <c r="H26" s="43"/>
    </row>
    <row r="27" spans="1:8" s="37" customFormat="1" ht="13.5">
      <c r="A27" s="39" t="s">
        <v>310</v>
      </c>
      <c r="B27" s="40"/>
      <c r="C27" s="41"/>
      <c r="D27" s="42"/>
      <c r="E27" s="42"/>
      <c r="F27" s="42"/>
      <c r="G27" s="42"/>
      <c r="H27" s="43"/>
    </row>
    <row r="28" spans="1:8" s="37" customFormat="1" ht="13.5">
      <c r="A28" s="44" t="s">
        <v>508</v>
      </c>
      <c r="B28" s="40" t="s">
        <v>25</v>
      </c>
      <c r="C28" s="41">
        <v>4</v>
      </c>
      <c r="D28" s="42"/>
      <c r="E28" s="42"/>
      <c r="F28" s="42">
        <f>920+28</f>
        <v>948</v>
      </c>
      <c r="G28" s="42">
        <f aca="true" t="shared" si="0" ref="G28:G33">C28*F28</f>
        <v>3792</v>
      </c>
      <c r="H28" s="43"/>
    </row>
    <row r="29" spans="1:8" s="37" customFormat="1" ht="13.5">
      <c r="A29" s="44" t="s">
        <v>464</v>
      </c>
      <c r="B29" s="44" t="s">
        <v>471</v>
      </c>
      <c r="C29" s="41">
        <v>1</v>
      </c>
      <c r="D29" s="41"/>
      <c r="E29" s="41"/>
      <c r="F29" s="42">
        <v>1297</v>
      </c>
      <c r="G29" s="42">
        <f t="shared" si="0"/>
        <v>1297</v>
      </c>
      <c r="H29" s="43"/>
    </row>
    <row r="30" spans="1:8" s="37" customFormat="1" ht="13.5">
      <c r="A30" s="44" t="s">
        <v>465</v>
      </c>
      <c r="B30" s="44" t="s">
        <v>472</v>
      </c>
      <c r="C30" s="41">
        <v>1</v>
      </c>
      <c r="D30" s="41"/>
      <c r="E30" s="41"/>
      <c r="F30" s="42">
        <v>820</v>
      </c>
      <c r="G30" s="42">
        <f t="shared" si="0"/>
        <v>820</v>
      </c>
      <c r="H30" s="43"/>
    </row>
    <row r="31" spans="1:7" s="37" customFormat="1" ht="13.5">
      <c r="A31" s="44" t="s">
        <v>466</v>
      </c>
      <c r="B31" s="47"/>
      <c r="C31" s="41">
        <v>1</v>
      </c>
      <c r="D31" s="41"/>
      <c r="E31" s="41"/>
      <c r="F31" s="42">
        <v>590</v>
      </c>
      <c r="G31" s="42">
        <f t="shared" si="0"/>
        <v>590</v>
      </c>
    </row>
    <row r="32" spans="1:9" s="37" customFormat="1" ht="13.5">
      <c r="A32" s="44" t="s">
        <v>467</v>
      </c>
      <c r="B32" s="48"/>
      <c r="C32" s="41">
        <v>1</v>
      </c>
      <c r="D32" s="41"/>
      <c r="E32" s="41"/>
      <c r="F32" s="42">
        <v>550</v>
      </c>
      <c r="G32" s="42">
        <f t="shared" si="0"/>
        <v>550</v>
      </c>
      <c r="I32" s="43"/>
    </row>
    <row r="33" spans="1:9" s="37" customFormat="1" ht="13.5">
      <c r="A33" s="44" t="s">
        <v>26</v>
      </c>
      <c r="B33" s="45" t="s">
        <v>473</v>
      </c>
      <c r="C33" s="41">
        <v>1</v>
      </c>
      <c r="D33" s="41"/>
      <c r="E33" s="41"/>
      <c r="F33" s="42">
        <v>200</v>
      </c>
      <c r="G33" s="42">
        <f t="shared" si="0"/>
        <v>200</v>
      </c>
      <c r="I33" s="43"/>
    </row>
    <row r="34" spans="1:9" s="37" customFormat="1" ht="13.5">
      <c r="A34" s="44" t="s">
        <v>468</v>
      </c>
      <c r="B34" s="44" t="s">
        <v>27</v>
      </c>
      <c r="C34" s="41">
        <v>1</v>
      </c>
      <c r="D34" s="41"/>
      <c r="E34" s="41"/>
      <c r="F34" s="42">
        <v>8000</v>
      </c>
      <c r="G34" s="42">
        <f>C34*F34</f>
        <v>8000</v>
      </c>
      <c r="I34" s="43"/>
    </row>
    <row r="35" spans="1:7" s="37" customFormat="1" ht="13.5">
      <c r="A35" s="49"/>
      <c r="B35" s="466" t="s">
        <v>28</v>
      </c>
      <c r="C35" s="467"/>
      <c r="D35" s="468"/>
      <c r="E35" s="50">
        <f>SUM(E7:E34)</f>
        <v>22053.29</v>
      </c>
      <c r="F35" s="50"/>
      <c r="G35" s="50">
        <f>SUM(G7:G34)</f>
        <v>51672.840000000004</v>
      </c>
    </row>
    <row r="36" spans="1:7" s="37" customFormat="1" ht="13.5">
      <c r="A36" s="51"/>
      <c r="B36" s="51"/>
      <c r="C36" s="52"/>
      <c r="D36" s="52"/>
      <c r="E36" s="52"/>
      <c r="F36" s="52"/>
      <c r="G36" s="53"/>
    </row>
    <row r="37" spans="1:7" s="37" customFormat="1" ht="13.5">
      <c r="A37" s="463" t="s">
        <v>474</v>
      </c>
      <c r="B37" s="464"/>
      <c r="C37" s="464"/>
      <c r="D37" s="464"/>
      <c r="E37" s="464"/>
      <c r="F37" s="464"/>
      <c r="G37" s="465"/>
    </row>
    <row r="38" spans="1:7" s="37" customFormat="1" ht="25.5">
      <c r="A38" s="38" t="s">
        <v>447</v>
      </c>
      <c r="B38" s="38" t="s">
        <v>448</v>
      </c>
      <c r="C38" s="38" t="s">
        <v>292</v>
      </c>
      <c r="D38" s="38" t="s">
        <v>17</v>
      </c>
      <c r="E38" s="38" t="s">
        <v>18</v>
      </c>
      <c r="F38" s="38" t="s">
        <v>449</v>
      </c>
      <c r="G38" s="38" t="s">
        <v>450</v>
      </c>
    </row>
    <row r="39" spans="1:8" s="37" customFormat="1" ht="13.5">
      <c r="A39" s="39" t="s">
        <v>474</v>
      </c>
      <c r="B39" s="45" t="s">
        <v>475</v>
      </c>
      <c r="C39" s="41">
        <v>2</v>
      </c>
      <c r="D39" s="42">
        <v>1900</v>
      </c>
      <c r="E39" s="42">
        <f>C39*D39</f>
        <v>3800</v>
      </c>
      <c r="F39" s="42">
        <v>1900</v>
      </c>
      <c r="G39" s="42">
        <f>C39*F39</f>
        <v>3800</v>
      </c>
      <c r="H39" s="43"/>
    </row>
    <row r="40" spans="1:8" s="37" customFormat="1" ht="13.5">
      <c r="A40" s="49"/>
      <c r="B40" s="466" t="s">
        <v>28</v>
      </c>
      <c r="C40" s="467"/>
      <c r="D40" s="468"/>
      <c r="E40" s="50">
        <f>SUM(E39)</f>
        <v>3800</v>
      </c>
      <c r="F40" s="50"/>
      <c r="G40" s="50">
        <f>SUM(G39)</f>
        <v>3800</v>
      </c>
      <c r="H40" s="43"/>
    </row>
    <row r="41" spans="1:7" s="37" customFormat="1" ht="13.5">
      <c r="A41" s="51"/>
      <c r="B41" s="51"/>
      <c r="C41" s="52"/>
      <c r="D41" s="52"/>
      <c r="E41" s="52"/>
      <c r="F41" s="52"/>
      <c r="G41" s="53"/>
    </row>
    <row r="42" spans="1:7" s="37" customFormat="1" ht="13.5">
      <c r="A42" s="463" t="s">
        <v>476</v>
      </c>
      <c r="B42" s="464"/>
      <c r="C42" s="464"/>
      <c r="D42" s="464"/>
      <c r="E42" s="464"/>
      <c r="F42" s="464"/>
      <c r="G42" s="465"/>
    </row>
    <row r="43" spans="1:7" s="37" customFormat="1" ht="25.5">
      <c r="A43" s="38" t="s">
        <v>447</v>
      </c>
      <c r="B43" s="38" t="s">
        <v>448</v>
      </c>
      <c r="C43" s="38" t="s">
        <v>292</v>
      </c>
      <c r="D43" s="38" t="s">
        <v>17</v>
      </c>
      <c r="E43" s="38" t="s">
        <v>18</v>
      </c>
      <c r="F43" s="38" t="s">
        <v>449</v>
      </c>
      <c r="G43" s="38" t="s">
        <v>477</v>
      </c>
    </row>
    <row r="44" spans="1:7" s="37" customFormat="1" ht="13.5">
      <c r="A44" s="44" t="s">
        <v>479</v>
      </c>
      <c r="B44" s="45" t="s">
        <v>485</v>
      </c>
      <c r="C44" s="41">
        <v>10</v>
      </c>
      <c r="D44" s="42">
        <v>135.49</v>
      </c>
      <c r="E44" s="42">
        <f>C44*D44</f>
        <v>1354.9</v>
      </c>
      <c r="F44" s="42">
        <v>135.49</v>
      </c>
      <c r="G44" s="42">
        <f aca="true" t="shared" si="1" ref="G44:G50">C44*F44</f>
        <v>1354.9</v>
      </c>
    </row>
    <row r="45" spans="1:7" s="37" customFormat="1" ht="13.5">
      <c r="A45" s="44" t="s">
        <v>479</v>
      </c>
      <c r="B45" s="45" t="s">
        <v>486</v>
      </c>
      <c r="C45" s="41">
        <v>3</v>
      </c>
      <c r="D45" s="42"/>
      <c r="E45" s="42">
        <f>C45*D45</f>
        <v>0</v>
      </c>
      <c r="F45" s="42">
        <v>135.49</v>
      </c>
      <c r="G45" s="42">
        <f t="shared" si="1"/>
        <v>406.47</v>
      </c>
    </row>
    <row r="46" spans="1:7" s="37" customFormat="1" ht="13.5">
      <c r="A46" s="44" t="s">
        <v>480</v>
      </c>
      <c r="B46" s="45" t="s">
        <v>487</v>
      </c>
      <c r="C46" s="41">
        <v>1</v>
      </c>
      <c r="D46" s="42">
        <v>883.21</v>
      </c>
      <c r="E46" s="42">
        <f>C46*D46</f>
        <v>883.21</v>
      </c>
      <c r="F46" s="42">
        <v>883.21</v>
      </c>
      <c r="G46" s="42">
        <f t="shared" si="1"/>
        <v>883.21</v>
      </c>
    </row>
    <row r="47" spans="1:7" s="37" customFormat="1" ht="25.5">
      <c r="A47" s="44" t="s">
        <v>481</v>
      </c>
      <c r="B47" s="45" t="s">
        <v>488</v>
      </c>
      <c r="C47" s="41">
        <v>1</v>
      </c>
      <c r="D47" s="42">
        <v>1049.54</v>
      </c>
      <c r="E47" s="42">
        <f>C47*D47</f>
        <v>1049.54</v>
      </c>
      <c r="F47" s="42">
        <v>1049.54</v>
      </c>
      <c r="G47" s="42">
        <f t="shared" si="1"/>
        <v>1049.54</v>
      </c>
    </row>
    <row r="48" spans="1:7" s="37" customFormat="1" ht="13.5">
      <c r="A48" s="44" t="s">
        <v>482</v>
      </c>
      <c r="B48" s="45" t="s">
        <v>29</v>
      </c>
      <c r="C48" s="41">
        <v>1</v>
      </c>
      <c r="D48" s="42">
        <v>1122.89</v>
      </c>
      <c r="E48" s="42">
        <f>C48*D48</f>
        <v>1122.89</v>
      </c>
      <c r="F48" s="42">
        <v>1122.89</v>
      </c>
      <c r="G48" s="42">
        <f t="shared" si="1"/>
        <v>1122.89</v>
      </c>
    </row>
    <row r="49" spans="1:7" s="37" customFormat="1" ht="13.5">
      <c r="A49" s="44" t="s">
        <v>483</v>
      </c>
      <c r="B49" s="45" t="s">
        <v>489</v>
      </c>
      <c r="C49" s="41">
        <v>1</v>
      </c>
      <c r="D49" s="42">
        <v>490</v>
      </c>
      <c r="E49" s="42">
        <f>C49*D49</f>
        <v>490</v>
      </c>
      <c r="F49" s="42">
        <v>880</v>
      </c>
      <c r="G49" s="42">
        <f t="shared" si="1"/>
        <v>880</v>
      </c>
    </row>
    <row r="50" spans="1:7" s="37" customFormat="1" ht="13.5">
      <c r="A50" s="44" t="s">
        <v>484</v>
      </c>
      <c r="B50" s="45" t="s">
        <v>490</v>
      </c>
      <c r="C50" s="41">
        <v>1</v>
      </c>
      <c r="D50" s="42">
        <v>100</v>
      </c>
      <c r="E50" s="42">
        <f>C50*D50</f>
        <v>100</v>
      </c>
      <c r="F50" s="42">
        <v>100</v>
      </c>
      <c r="G50" s="42">
        <f t="shared" si="1"/>
        <v>100</v>
      </c>
    </row>
    <row r="51" spans="1:7" s="37" customFormat="1" ht="13.5">
      <c r="A51" s="430" t="s">
        <v>484</v>
      </c>
      <c r="B51" s="466" t="s">
        <v>28</v>
      </c>
      <c r="C51" s="467"/>
      <c r="D51" s="468"/>
      <c r="E51" s="50">
        <f>SUM(E44:E50)</f>
        <v>5000.54</v>
      </c>
      <c r="F51" s="50"/>
      <c r="G51" s="50">
        <f>SUM(G44:G50)</f>
        <v>5797.01</v>
      </c>
    </row>
    <row r="52" spans="1:7" s="37" customFormat="1" ht="13.5">
      <c r="A52" s="51"/>
      <c r="B52" s="51"/>
      <c r="C52" s="52"/>
      <c r="D52" s="52"/>
      <c r="E52" s="52"/>
      <c r="F52" s="52"/>
      <c r="G52" s="53"/>
    </row>
    <row r="53" spans="1:7" s="37" customFormat="1" ht="13.5">
      <c r="A53" s="463" t="s">
        <v>478</v>
      </c>
      <c r="B53" s="464"/>
      <c r="C53" s="464"/>
      <c r="D53" s="464"/>
      <c r="E53" s="464"/>
      <c r="F53" s="464"/>
      <c r="G53" s="465"/>
    </row>
    <row r="54" spans="1:7" s="37" customFormat="1" ht="25.5">
      <c r="A54" s="38" t="s">
        <v>447</v>
      </c>
      <c r="B54" s="38" t="s">
        <v>448</v>
      </c>
      <c r="C54" s="38" t="s">
        <v>292</v>
      </c>
      <c r="D54" s="38" t="s">
        <v>17</v>
      </c>
      <c r="E54" s="38" t="s">
        <v>18</v>
      </c>
      <c r="F54" s="38" t="s">
        <v>449</v>
      </c>
      <c r="G54" s="38" t="s">
        <v>450</v>
      </c>
    </row>
    <row r="55" spans="1:7" s="37" customFormat="1" ht="13.5">
      <c r="A55" s="39" t="s">
        <v>30</v>
      </c>
      <c r="B55" s="44" t="s">
        <v>31</v>
      </c>
      <c r="C55" s="41">
        <v>3</v>
      </c>
      <c r="D55" s="42">
        <v>8000</v>
      </c>
      <c r="E55" s="42">
        <f>C55*D55</f>
        <v>24000</v>
      </c>
      <c r="F55" s="42"/>
      <c r="G55" s="42">
        <f>C55*F55</f>
        <v>0</v>
      </c>
    </row>
    <row r="56" spans="1:7" s="37" customFormat="1" ht="13.5">
      <c r="A56" s="39" t="s">
        <v>491</v>
      </c>
      <c r="B56" s="44" t="s">
        <v>493</v>
      </c>
      <c r="C56" s="41">
        <v>1</v>
      </c>
      <c r="D56" s="42">
        <v>5580</v>
      </c>
      <c r="E56" s="42">
        <f>C56*D56</f>
        <v>5580</v>
      </c>
      <c r="F56" s="42">
        <v>5580</v>
      </c>
      <c r="G56" s="42">
        <f>C56*F56</f>
        <v>5580</v>
      </c>
    </row>
    <row r="57" spans="1:7" s="37" customFormat="1" ht="13.5">
      <c r="A57" s="49" t="s">
        <v>492</v>
      </c>
      <c r="B57" s="466" t="s">
        <v>28</v>
      </c>
      <c r="C57" s="467"/>
      <c r="D57" s="468"/>
      <c r="E57" s="50">
        <f>SUM(E55:E56)</f>
        <v>29580</v>
      </c>
      <c r="F57" s="50"/>
      <c r="G57" s="50">
        <f>SUM(G55:G56)</f>
        <v>5580</v>
      </c>
    </row>
    <row r="58" spans="1:7" s="37" customFormat="1" ht="13.5">
      <c r="A58" s="51"/>
      <c r="B58" s="51"/>
      <c r="C58" s="52"/>
      <c r="D58" s="52"/>
      <c r="E58" s="52"/>
      <c r="F58" s="52"/>
      <c r="G58" s="53"/>
    </row>
    <row r="59" spans="1:7" s="37" customFormat="1" ht="13.5">
      <c r="A59" s="54"/>
      <c r="B59" s="55"/>
      <c r="C59" s="466" t="s">
        <v>494</v>
      </c>
      <c r="D59" s="473"/>
      <c r="E59" s="50">
        <f>E35+E40+E51+E57</f>
        <v>60433.83</v>
      </c>
      <c r="F59" s="56"/>
      <c r="G59" s="50">
        <f>G35+G40+G51+G57</f>
        <v>66849.85</v>
      </c>
    </row>
    <row r="60" spans="1:7" s="37" customFormat="1" ht="13.5">
      <c r="A60" s="57"/>
      <c r="B60" s="55"/>
      <c r="C60" s="466" t="s">
        <v>358</v>
      </c>
      <c r="D60" s="473"/>
      <c r="E60" s="50">
        <f>E59*0.1</f>
        <v>6043.383000000001</v>
      </c>
      <c r="F60" s="56"/>
      <c r="G60" s="50">
        <f>G59*0.11</f>
        <v>7353.4835</v>
      </c>
    </row>
    <row r="61" spans="1:7" s="58" customFormat="1" ht="13.5">
      <c r="A61" s="57"/>
      <c r="B61" s="54"/>
      <c r="C61" s="466" t="s">
        <v>495</v>
      </c>
      <c r="D61" s="473"/>
      <c r="E61" s="50">
        <f>SUM(E59:E60)</f>
        <v>66477.213</v>
      </c>
      <c r="F61" s="56"/>
      <c r="G61" s="50">
        <f>SUM(G59:G60)</f>
        <v>74203.33350000001</v>
      </c>
    </row>
    <row r="62" spans="1:7" s="58" customFormat="1" ht="13.5">
      <c r="A62" s="57"/>
      <c r="B62" s="54"/>
      <c r="C62" s="59"/>
      <c r="D62" s="60"/>
      <c r="E62" s="61"/>
      <c r="F62" s="59"/>
      <c r="G62" s="61"/>
    </row>
    <row r="67" spans="1:7" s="58" customFormat="1" ht="13.5">
      <c r="A67" s="57"/>
      <c r="B67" s="54"/>
      <c r="C67" s="59"/>
      <c r="D67" s="59"/>
      <c r="E67" s="59"/>
      <c r="F67" s="59"/>
      <c r="G67" s="61"/>
    </row>
    <row r="68" spans="1:7" s="37" customFormat="1" ht="24.75">
      <c r="A68" s="475" t="s">
        <v>16</v>
      </c>
      <c r="B68" s="475"/>
      <c r="C68" s="475"/>
      <c r="D68" s="475"/>
      <c r="E68" s="475"/>
      <c r="F68" s="475"/>
      <c r="G68" s="475"/>
    </row>
    <row r="69" spans="1:7" s="37" customFormat="1" ht="18">
      <c r="A69" s="476" t="s">
        <v>496</v>
      </c>
      <c r="B69" s="476"/>
      <c r="C69" s="476"/>
      <c r="D69" s="476"/>
      <c r="E69" s="476"/>
      <c r="F69" s="476"/>
      <c r="G69" s="476"/>
    </row>
    <row r="70" spans="1:7" s="37" customFormat="1" ht="15">
      <c r="A70" s="474" t="s">
        <v>446</v>
      </c>
      <c r="B70" s="474"/>
      <c r="C70" s="474"/>
      <c r="D70" s="474"/>
      <c r="E70" s="474"/>
      <c r="F70" s="474"/>
      <c r="G70" s="474"/>
    </row>
    <row r="71" spans="1:7" s="37" customFormat="1" ht="13.5">
      <c r="A71" s="462"/>
      <c r="B71" s="462"/>
      <c r="C71" s="462"/>
      <c r="D71" s="462"/>
      <c r="E71" s="462"/>
      <c r="F71" s="462"/>
      <c r="G71" s="462"/>
    </row>
    <row r="72" spans="1:7" s="37" customFormat="1" ht="13.5">
      <c r="A72" s="463" t="s">
        <v>497</v>
      </c>
      <c r="B72" s="464"/>
      <c r="C72" s="464"/>
      <c r="D72" s="464"/>
      <c r="E72" s="464"/>
      <c r="F72" s="464"/>
      <c r="G72" s="465"/>
    </row>
    <row r="73" spans="1:7" s="37" customFormat="1" ht="25.5">
      <c r="A73" s="38" t="s">
        <v>498</v>
      </c>
      <c r="B73" s="38" t="s">
        <v>448</v>
      </c>
      <c r="C73" s="38" t="s">
        <v>292</v>
      </c>
      <c r="D73" s="38" t="s">
        <v>17</v>
      </c>
      <c r="E73" s="38" t="s">
        <v>18</v>
      </c>
      <c r="F73" s="38" t="s">
        <v>449</v>
      </c>
      <c r="G73" s="38" t="s">
        <v>450</v>
      </c>
    </row>
    <row r="74" spans="1:7" s="37" customFormat="1" ht="13.5">
      <c r="A74" s="44" t="s">
        <v>479</v>
      </c>
      <c r="B74" s="45" t="s">
        <v>486</v>
      </c>
      <c r="C74" s="41">
        <v>7</v>
      </c>
      <c r="D74" s="42">
        <v>135.49</v>
      </c>
      <c r="E74" s="42">
        <f>C74*D74</f>
        <v>948.4300000000001</v>
      </c>
      <c r="F74" s="42">
        <v>135.49</v>
      </c>
      <c r="G74" s="42">
        <f>C74*F74</f>
        <v>948.4300000000001</v>
      </c>
    </row>
    <row r="75" spans="1:7" s="37" customFormat="1" ht="13.5">
      <c r="A75" s="44" t="s">
        <v>480</v>
      </c>
      <c r="B75" s="45" t="s">
        <v>531</v>
      </c>
      <c r="C75" s="41">
        <v>1</v>
      </c>
      <c r="D75" s="42">
        <v>883.21</v>
      </c>
      <c r="E75" s="42">
        <f>C75*D75</f>
        <v>883.21</v>
      </c>
      <c r="F75" s="42">
        <v>883.21</v>
      </c>
      <c r="G75" s="42">
        <f>C75*F75</f>
        <v>883.21</v>
      </c>
    </row>
    <row r="76" spans="1:7" s="37" customFormat="1" ht="25.5">
      <c r="A76" s="44" t="s">
        <v>481</v>
      </c>
      <c r="B76" s="45" t="s">
        <v>532</v>
      </c>
      <c r="C76" s="41">
        <v>1</v>
      </c>
      <c r="D76" s="42">
        <v>1049.54</v>
      </c>
      <c r="E76" s="42">
        <f>C76*D76</f>
        <v>1049.54</v>
      </c>
      <c r="F76" s="42">
        <v>1049.54</v>
      </c>
      <c r="G76" s="42">
        <f>C76*F76</f>
        <v>1049.54</v>
      </c>
    </row>
    <row r="77" spans="1:7" s="37" customFormat="1" ht="13.5">
      <c r="A77" s="44" t="s">
        <v>499</v>
      </c>
      <c r="B77" s="45" t="s">
        <v>29</v>
      </c>
      <c r="C77" s="41">
        <v>1</v>
      </c>
      <c r="D77" s="42">
        <f>1122.89-500</f>
        <v>622.8900000000001</v>
      </c>
      <c r="E77" s="42">
        <f>C77*D77</f>
        <v>622.8900000000001</v>
      </c>
      <c r="F77" s="42">
        <f>1122.89-500</f>
        <v>622.8900000000001</v>
      </c>
      <c r="G77" s="42">
        <f>C77*F77</f>
        <v>622.8900000000001</v>
      </c>
    </row>
    <row r="78" spans="1:7" s="37" customFormat="1" ht="13.5">
      <c r="A78" s="44" t="s">
        <v>484</v>
      </c>
      <c r="B78" s="45" t="s">
        <v>490</v>
      </c>
      <c r="C78" s="41">
        <v>1</v>
      </c>
      <c r="D78" s="42">
        <v>100</v>
      </c>
      <c r="E78" s="42">
        <f>C78*D78</f>
        <v>100</v>
      </c>
      <c r="F78" s="42">
        <v>100</v>
      </c>
      <c r="G78" s="42">
        <f>C78*F78</f>
        <v>100</v>
      </c>
    </row>
    <row r="79" spans="1:7" s="37" customFormat="1" ht="13.5">
      <c r="A79" s="39" t="s">
        <v>500</v>
      </c>
      <c r="B79" s="45" t="s">
        <v>533</v>
      </c>
      <c r="C79" s="41">
        <v>2</v>
      </c>
      <c r="D79" s="42">
        <v>1900</v>
      </c>
      <c r="E79" s="42">
        <f>C79*D79</f>
        <v>3800</v>
      </c>
      <c r="F79" s="42">
        <v>1900</v>
      </c>
      <c r="G79" s="42">
        <f>C79*F79</f>
        <v>3800</v>
      </c>
    </row>
    <row r="80" spans="1:7" s="37" customFormat="1" ht="13.5">
      <c r="A80" s="49"/>
      <c r="B80" s="466" t="s">
        <v>28</v>
      </c>
      <c r="C80" s="467"/>
      <c r="D80" s="468"/>
      <c r="E80" s="50">
        <f>SUM(E73:E79)</f>
        <v>7404.070000000001</v>
      </c>
      <c r="F80" s="50"/>
      <c r="G80" s="50">
        <f>SUM(G73:G79)</f>
        <v>7404.070000000001</v>
      </c>
    </row>
    <row r="81" s="37" customFormat="1" ht="13.5"/>
    <row r="82" spans="1:7" s="37" customFormat="1" ht="13.5">
      <c r="A82" s="463" t="s">
        <v>501</v>
      </c>
      <c r="B82" s="464"/>
      <c r="C82" s="464"/>
      <c r="D82" s="464"/>
      <c r="E82" s="464"/>
      <c r="F82" s="464"/>
      <c r="G82" s="465"/>
    </row>
    <row r="83" spans="1:7" s="37" customFormat="1" ht="25.5">
      <c r="A83" s="38" t="s">
        <v>447</v>
      </c>
      <c r="B83" s="38" t="s">
        <v>448</v>
      </c>
      <c r="C83" s="38" t="s">
        <v>292</v>
      </c>
      <c r="D83" s="38" t="s">
        <v>17</v>
      </c>
      <c r="E83" s="38" t="s">
        <v>18</v>
      </c>
      <c r="F83" s="38" t="s">
        <v>449</v>
      </c>
      <c r="G83" s="38" t="s">
        <v>477</v>
      </c>
    </row>
    <row r="84" spans="1:7" s="37" customFormat="1" ht="13.5">
      <c r="A84" s="469" t="s">
        <v>502</v>
      </c>
      <c r="B84" s="470"/>
      <c r="C84" s="470"/>
      <c r="D84" s="470"/>
      <c r="E84" s="470"/>
      <c r="F84" s="470"/>
      <c r="G84" s="471"/>
    </row>
    <row r="85" spans="1:7" s="37" customFormat="1" ht="13.5">
      <c r="A85" s="39" t="s">
        <v>304</v>
      </c>
      <c r="B85" s="40"/>
      <c r="C85" s="41"/>
      <c r="D85" s="42"/>
      <c r="E85" s="42"/>
      <c r="F85" s="42"/>
      <c r="G85" s="42"/>
    </row>
    <row r="86" spans="1:7" s="37" customFormat="1" ht="13.5">
      <c r="A86" s="44" t="s">
        <v>503</v>
      </c>
      <c r="B86" s="40" t="s">
        <v>19</v>
      </c>
      <c r="C86" s="41">
        <v>20</v>
      </c>
      <c r="D86" s="42">
        <v>584</v>
      </c>
      <c r="E86" s="42">
        <f>C86*D86</f>
        <v>11680</v>
      </c>
      <c r="F86" s="42">
        <v>835</v>
      </c>
      <c r="G86" s="42">
        <f>C86*F86</f>
        <v>16700</v>
      </c>
    </row>
    <row r="87" spans="1:7" s="37" customFormat="1" ht="25.5">
      <c r="A87" s="44" t="s">
        <v>452</v>
      </c>
      <c r="B87" s="40" t="s">
        <v>20</v>
      </c>
      <c r="C87" s="41">
        <v>1</v>
      </c>
      <c r="D87" s="42"/>
      <c r="E87" s="42"/>
      <c r="F87" s="42">
        <v>725</v>
      </c>
      <c r="G87" s="42">
        <f>C87*F87</f>
        <v>725</v>
      </c>
    </row>
    <row r="88" spans="1:7" s="37" customFormat="1" ht="13.5">
      <c r="A88" s="44" t="s">
        <v>453</v>
      </c>
      <c r="B88" s="45"/>
      <c r="C88" s="41">
        <v>1</v>
      </c>
      <c r="D88" s="42">
        <v>350</v>
      </c>
      <c r="E88" s="42">
        <f>C88*D88</f>
        <v>350</v>
      </c>
      <c r="F88" s="42">
        <v>350</v>
      </c>
      <c r="G88" s="42">
        <f>C88*F88</f>
        <v>350</v>
      </c>
    </row>
    <row r="89" spans="1:7" s="37" customFormat="1" ht="13.5">
      <c r="A89" s="44" t="s">
        <v>454</v>
      </c>
      <c r="B89" s="45" t="s">
        <v>469</v>
      </c>
      <c r="C89" s="41">
        <v>1</v>
      </c>
      <c r="D89" s="42"/>
      <c r="E89" s="42"/>
      <c r="F89" s="42">
        <v>4502.54</v>
      </c>
      <c r="G89" s="42">
        <f>C89*F89</f>
        <v>4502.54</v>
      </c>
    </row>
    <row r="90" spans="1:7" s="37" customFormat="1" ht="13.5">
      <c r="A90" s="44" t="s">
        <v>455</v>
      </c>
      <c r="B90" s="45" t="s">
        <v>470</v>
      </c>
      <c r="C90" s="41">
        <v>1</v>
      </c>
      <c r="D90" s="42"/>
      <c r="E90" s="42"/>
      <c r="F90" s="42">
        <v>815.38</v>
      </c>
      <c r="G90" s="42">
        <f>C90*F90</f>
        <v>815.38</v>
      </c>
    </row>
    <row r="91" spans="1:7" s="37" customFormat="1" ht="13.5">
      <c r="A91" s="39" t="s">
        <v>295</v>
      </c>
      <c r="B91" s="45"/>
      <c r="C91" s="41"/>
      <c r="D91" s="42"/>
      <c r="E91" s="42"/>
      <c r="F91" s="42"/>
      <c r="G91" s="42"/>
    </row>
    <row r="92" spans="1:7" s="37" customFormat="1" ht="25.5">
      <c r="A92" s="44" t="s">
        <v>452</v>
      </c>
      <c r="B92" s="40" t="s">
        <v>21</v>
      </c>
      <c r="C92" s="41">
        <v>1</v>
      </c>
      <c r="D92" s="42"/>
      <c r="E92" s="42"/>
      <c r="F92" s="42">
        <v>725</v>
      </c>
      <c r="G92" s="42">
        <f>C92*F92</f>
        <v>725</v>
      </c>
    </row>
    <row r="93" spans="1:7" s="37" customFormat="1" ht="13.5">
      <c r="A93" s="44" t="s">
        <v>454</v>
      </c>
      <c r="B93" s="45" t="s">
        <v>469</v>
      </c>
      <c r="C93" s="41">
        <v>1</v>
      </c>
      <c r="D93" s="42">
        <v>3632.01</v>
      </c>
      <c r="E93" s="42">
        <f>C93*D93</f>
        <v>3632.01</v>
      </c>
      <c r="F93" s="42">
        <v>4502.54</v>
      </c>
      <c r="G93" s="42">
        <f>C93*F93</f>
        <v>4502.54</v>
      </c>
    </row>
    <row r="94" spans="1:7" s="37" customFormat="1" ht="13.5">
      <c r="A94" s="44" t="s">
        <v>455</v>
      </c>
      <c r="B94" s="45" t="s">
        <v>470</v>
      </c>
      <c r="C94" s="41">
        <v>1</v>
      </c>
      <c r="D94" s="42">
        <v>411.28</v>
      </c>
      <c r="E94" s="42">
        <f>C94*D94</f>
        <v>411.28</v>
      </c>
      <c r="F94" s="42">
        <v>815.38</v>
      </c>
      <c r="G94" s="42">
        <f>C94*F94</f>
        <v>815.38</v>
      </c>
    </row>
    <row r="95" spans="1:7" s="37" customFormat="1" ht="13.5">
      <c r="A95" s="39" t="s">
        <v>307</v>
      </c>
      <c r="B95" s="40"/>
      <c r="C95" s="41"/>
      <c r="D95" s="42"/>
      <c r="E95" s="42"/>
      <c r="F95" s="42"/>
      <c r="G95" s="42"/>
    </row>
    <row r="96" spans="1:7" s="37" customFormat="1" ht="13.5">
      <c r="A96" s="39" t="s">
        <v>456</v>
      </c>
      <c r="B96" s="40" t="s">
        <v>22</v>
      </c>
      <c r="C96" s="41">
        <v>4</v>
      </c>
      <c r="D96" s="42">
        <v>850</v>
      </c>
      <c r="E96" s="42">
        <f>C96*D96</f>
        <v>3400</v>
      </c>
      <c r="F96" s="42">
        <v>1035</v>
      </c>
      <c r="G96" s="42">
        <f>C96*F96</f>
        <v>4140</v>
      </c>
    </row>
    <row r="97" spans="1:7" s="37" customFormat="1" ht="13.5">
      <c r="A97" s="44" t="s">
        <v>23</v>
      </c>
      <c r="B97" s="45"/>
      <c r="C97" s="41">
        <v>1</v>
      </c>
      <c r="D97" s="42">
        <v>200</v>
      </c>
      <c r="E97" s="42">
        <f>C97*D97</f>
        <v>200</v>
      </c>
      <c r="F97" s="42">
        <v>198</v>
      </c>
      <c r="G97" s="42">
        <f>C97*F97</f>
        <v>198</v>
      </c>
    </row>
    <row r="98" spans="1:7" s="37" customFormat="1" ht="13.5">
      <c r="A98" s="44" t="s">
        <v>504</v>
      </c>
      <c r="B98" s="45"/>
      <c r="C98" s="41">
        <v>1</v>
      </c>
      <c r="D98" s="42">
        <v>800</v>
      </c>
      <c r="E98" s="42">
        <f>C98*D98</f>
        <v>800</v>
      </c>
      <c r="F98" s="42">
        <v>805</v>
      </c>
      <c r="G98" s="42">
        <f>C98*F98</f>
        <v>805</v>
      </c>
    </row>
    <row r="99" spans="1:7" s="37" customFormat="1" ht="13.5">
      <c r="A99" s="44" t="s">
        <v>458</v>
      </c>
      <c r="B99" s="45"/>
      <c r="C99" s="41">
        <v>1</v>
      </c>
      <c r="D99" s="42"/>
      <c r="E99" s="42"/>
      <c r="F99" s="42">
        <v>35</v>
      </c>
      <c r="G99" s="42">
        <f>C99*F99</f>
        <v>35</v>
      </c>
    </row>
    <row r="100" spans="1:7" s="37" customFormat="1" ht="13.5">
      <c r="A100" s="44" t="s">
        <v>505</v>
      </c>
      <c r="B100" s="45"/>
      <c r="C100" s="41">
        <v>1</v>
      </c>
      <c r="D100" s="42">
        <v>500</v>
      </c>
      <c r="E100" s="42">
        <f>C100*D100</f>
        <v>500</v>
      </c>
      <c r="F100" s="42">
        <v>515</v>
      </c>
      <c r="G100" s="42">
        <f>C100*F100</f>
        <v>515</v>
      </c>
    </row>
    <row r="101" spans="1:7" s="37" customFormat="1" ht="13.5">
      <c r="A101" s="46" t="s">
        <v>506</v>
      </c>
      <c r="C101" s="41">
        <v>4</v>
      </c>
      <c r="D101" s="42">
        <v>270</v>
      </c>
      <c r="E101" s="42">
        <f>C101*D101</f>
        <v>1080</v>
      </c>
      <c r="F101" s="42">
        <v>185</v>
      </c>
      <c r="G101" s="42">
        <f>C101*F101</f>
        <v>740</v>
      </c>
    </row>
    <row r="102" spans="1:7" s="37" customFormat="1" ht="13.5">
      <c r="A102" s="39" t="s">
        <v>461</v>
      </c>
      <c r="B102" s="40"/>
      <c r="C102" s="41"/>
      <c r="D102" s="42"/>
      <c r="E102" s="42"/>
      <c r="F102" s="42"/>
      <c r="G102" s="42"/>
    </row>
    <row r="103" spans="1:7" s="37" customFormat="1" ht="13.5">
      <c r="A103" s="44" t="s">
        <v>462</v>
      </c>
      <c r="B103" s="45"/>
      <c r="C103" s="41">
        <v>1</v>
      </c>
      <c r="D103" s="42"/>
      <c r="E103" s="42"/>
      <c r="F103" s="42">
        <f>405+135+150</f>
        <v>690</v>
      </c>
      <c r="G103" s="42">
        <f>C103*F103</f>
        <v>690</v>
      </c>
    </row>
    <row r="104" spans="1:7" s="37" customFormat="1" ht="13.5">
      <c r="A104" s="44" t="s">
        <v>463</v>
      </c>
      <c r="B104" s="45"/>
      <c r="C104" s="41">
        <v>1</v>
      </c>
      <c r="D104" s="42"/>
      <c r="E104" s="42"/>
      <c r="F104" s="42">
        <v>165</v>
      </c>
      <c r="G104" s="42">
        <f>C104*F104</f>
        <v>165</v>
      </c>
    </row>
    <row r="105" spans="1:7" s="37" customFormat="1" ht="13.5">
      <c r="A105" s="39" t="s">
        <v>310</v>
      </c>
      <c r="B105" s="40"/>
      <c r="C105" s="41"/>
      <c r="D105" s="42"/>
      <c r="E105" s="42"/>
      <c r="F105" s="42"/>
      <c r="G105" s="42"/>
    </row>
    <row r="106" spans="1:7" s="37" customFormat="1" ht="13.5">
      <c r="A106" s="44" t="s">
        <v>507</v>
      </c>
      <c r="B106" s="40" t="s">
        <v>25</v>
      </c>
      <c r="C106" s="41">
        <v>4</v>
      </c>
      <c r="D106" s="42"/>
      <c r="E106" s="42"/>
      <c r="F106" s="42">
        <f>920+28</f>
        <v>948</v>
      </c>
      <c r="G106" s="42">
        <f aca="true" t="shared" si="2" ref="G106:G112">C106*F106</f>
        <v>3792</v>
      </c>
    </row>
    <row r="107" spans="1:7" s="37" customFormat="1" ht="13.5">
      <c r="A107" s="44" t="s">
        <v>464</v>
      </c>
      <c r="B107" s="44" t="s">
        <v>515</v>
      </c>
      <c r="C107" s="41">
        <v>1</v>
      </c>
      <c r="D107" s="41"/>
      <c r="E107" s="41"/>
      <c r="F107" s="42">
        <v>1297</v>
      </c>
      <c r="G107" s="42">
        <f t="shared" si="2"/>
        <v>1297</v>
      </c>
    </row>
    <row r="108" spans="1:7" s="37" customFormat="1" ht="13.5">
      <c r="A108" s="44" t="s">
        <v>465</v>
      </c>
      <c r="B108" s="44" t="s">
        <v>516</v>
      </c>
      <c r="C108" s="41">
        <v>1</v>
      </c>
      <c r="D108" s="41"/>
      <c r="E108" s="41"/>
      <c r="F108" s="42">
        <v>820</v>
      </c>
      <c r="G108" s="42">
        <f t="shared" si="2"/>
        <v>820</v>
      </c>
    </row>
    <row r="109" spans="1:7" s="37" customFormat="1" ht="13.5">
      <c r="A109" s="44" t="s">
        <v>510</v>
      </c>
      <c r="B109" s="47"/>
      <c r="C109" s="41">
        <v>1</v>
      </c>
      <c r="D109" s="41"/>
      <c r="E109" s="41"/>
      <c r="F109" s="42">
        <v>590</v>
      </c>
      <c r="G109" s="42">
        <f t="shared" si="2"/>
        <v>590</v>
      </c>
    </row>
    <row r="110" spans="1:7" s="37" customFormat="1" ht="13.5">
      <c r="A110" s="44" t="s">
        <v>509</v>
      </c>
      <c r="B110" s="48"/>
      <c r="C110" s="41">
        <v>1</v>
      </c>
      <c r="D110" s="41"/>
      <c r="E110" s="41"/>
      <c r="F110" s="42">
        <v>550</v>
      </c>
      <c r="G110" s="42">
        <f t="shared" si="2"/>
        <v>550</v>
      </c>
    </row>
    <row r="111" spans="1:7" s="37" customFormat="1" ht="13.5">
      <c r="A111" s="44" t="s">
        <v>26</v>
      </c>
      <c r="B111" s="45" t="s">
        <v>517</v>
      </c>
      <c r="C111" s="41">
        <v>1</v>
      </c>
      <c r="D111" s="41"/>
      <c r="E111" s="41"/>
      <c r="F111" s="42">
        <v>200</v>
      </c>
      <c r="G111" s="42">
        <f t="shared" si="2"/>
        <v>200</v>
      </c>
    </row>
    <row r="112" spans="1:7" s="37" customFormat="1" ht="13.5">
      <c r="A112" s="44" t="s">
        <v>511</v>
      </c>
      <c r="B112" s="44" t="s">
        <v>27</v>
      </c>
      <c r="C112" s="41">
        <v>1</v>
      </c>
      <c r="D112" s="41"/>
      <c r="E112" s="41"/>
      <c r="F112" s="42">
        <v>8000</v>
      </c>
      <c r="G112" s="42">
        <f t="shared" si="2"/>
        <v>8000</v>
      </c>
    </row>
    <row r="113" spans="1:7" s="37" customFormat="1" ht="13.5">
      <c r="A113" s="469" t="s">
        <v>518</v>
      </c>
      <c r="B113" s="470"/>
      <c r="C113" s="470"/>
      <c r="D113" s="470"/>
      <c r="E113" s="470"/>
      <c r="F113" s="470"/>
      <c r="G113" s="471"/>
    </row>
    <row r="114" spans="1:7" s="37" customFormat="1" ht="13.5">
      <c r="A114" s="44" t="s">
        <v>479</v>
      </c>
      <c r="B114" s="45" t="s">
        <v>486</v>
      </c>
      <c r="C114" s="41">
        <v>3</v>
      </c>
      <c r="D114" s="42">
        <v>135.49</v>
      </c>
      <c r="E114" s="42">
        <f>C114*D114</f>
        <v>406.47</v>
      </c>
      <c r="F114" s="42">
        <v>135.49</v>
      </c>
      <c r="G114" s="42">
        <f>C114*F114</f>
        <v>406.47</v>
      </c>
    </row>
    <row r="115" spans="1:7" s="37" customFormat="1" ht="13.5">
      <c r="A115" s="44" t="s">
        <v>479</v>
      </c>
      <c r="B115" s="45" t="s">
        <v>519</v>
      </c>
      <c r="C115" s="41">
        <v>3</v>
      </c>
      <c r="D115" s="42"/>
      <c r="E115" s="42"/>
      <c r="F115" s="42">
        <v>135.49</v>
      </c>
      <c r="G115" s="42">
        <f>C115*F115</f>
        <v>406.47</v>
      </c>
    </row>
    <row r="116" spans="1:7" s="37" customFormat="1" ht="13.5">
      <c r="A116" s="44" t="s">
        <v>499</v>
      </c>
      <c r="B116" s="45" t="s">
        <v>29</v>
      </c>
      <c r="C116" s="41">
        <v>1</v>
      </c>
      <c r="D116" s="42">
        <f>500</f>
        <v>500</v>
      </c>
      <c r="E116" s="42">
        <f>C116*D116</f>
        <v>500</v>
      </c>
      <c r="F116" s="42">
        <f>500</f>
        <v>500</v>
      </c>
      <c r="G116" s="42">
        <f>C116*F116</f>
        <v>500</v>
      </c>
    </row>
    <row r="117" spans="1:7" s="37" customFormat="1" ht="13.5">
      <c r="A117" s="44" t="s">
        <v>483</v>
      </c>
      <c r="B117" s="45" t="s">
        <v>520</v>
      </c>
      <c r="C117" s="41">
        <v>1</v>
      </c>
      <c r="D117" s="42">
        <v>490</v>
      </c>
      <c r="E117" s="42">
        <f>C117*D117</f>
        <v>490</v>
      </c>
      <c r="F117" s="42">
        <v>880</v>
      </c>
      <c r="G117" s="42">
        <f>C117*F117</f>
        <v>880</v>
      </c>
    </row>
    <row r="118" spans="1:7" s="37" customFormat="1" ht="13.5">
      <c r="A118" s="469" t="s">
        <v>523</v>
      </c>
      <c r="B118" s="470"/>
      <c r="C118" s="470"/>
      <c r="D118" s="470"/>
      <c r="E118" s="470"/>
      <c r="F118" s="470"/>
      <c r="G118" s="471"/>
    </row>
    <row r="119" spans="1:7" s="37" customFormat="1" ht="13.5">
      <c r="A119" s="39" t="s">
        <v>512</v>
      </c>
      <c r="B119" s="44" t="s">
        <v>521</v>
      </c>
      <c r="C119" s="41">
        <v>3</v>
      </c>
      <c r="D119" s="42">
        <v>8000</v>
      </c>
      <c r="E119" s="42">
        <f>C119*D119</f>
        <v>24000</v>
      </c>
      <c r="F119" s="42"/>
      <c r="G119" s="42"/>
    </row>
    <row r="120" spans="1:7" s="37" customFormat="1" ht="13.5">
      <c r="A120" s="39" t="s">
        <v>513</v>
      </c>
      <c r="B120" s="44" t="s">
        <v>522</v>
      </c>
      <c r="C120" s="41">
        <v>1</v>
      </c>
      <c r="D120" s="42">
        <v>5580</v>
      </c>
      <c r="E120" s="42">
        <f>C120*D120</f>
        <v>5580</v>
      </c>
      <c r="F120" s="42">
        <v>5580</v>
      </c>
      <c r="G120" s="42">
        <f>C120*F120</f>
        <v>5580</v>
      </c>
    </row>
    <row r="121" spans="1:7" s="37" customFormat="1" ht="13.5">
      <c r="A121" s="49"/>
      <c r="B121" s="466" t="s">
        <v>28</v>
      </c>
      <c r="C121" s="467"/>
      <c r="D121" s="468"/>
      <c r="E121" s="50">
        <f>SUM(E84:E120)</f>
        <v>53029.76</v>
      </c>
      <c r="F121" s="50"/>
      <c r="G121" s="50">
        <f>SUM(G84:G120)</f>
        <v>59445.780000000006</v>
      </c>
    </row>
    <row r="122" s="37" customFormat="1" ht="13.5"/>
    <row r="123" spans="1:7" s="37" customFormat="1" ht="13.5">
      <c r="A123" s="54"/>
      <c r="B123" s="55"/>
      <c r="C123" s="466" t="s">
        <v>514</v>
      </c>
      <c r="D123" s="472"/>
      <c r="E123" s="50">
        <f>E80+E121</f>
        <v>60433.83</v>
      </c>
      <c r="F123" s="56"/>
      <c r="G123" s="50">
        <f>G80+G121</f>
        <v>66849.85</v>
      </c>
    </row>
    <row r="124" spans="1:7" s="37" customFormat="1" ht="13.5">
      <c r="A124" s="57"/>
      <c r="B124" s="55"/>
      <c r="C124" s="466" t="s">
        <v>32</v>
      </c>
      <c r="D124" s="473"/>
      <c r="E124" s="50">
        <f>E123*0.1</f>
        <v>6043.383000000001</v>
      </c>
      <c r="F124" s="56"/>
      <c r="G124" s="50">
        <f>G123*0.11</f>
        <v>7353.4835</v>
      </c>
    </row>
    <row r="125" spans="1:7" s="37" customFormat="1" ht="13.5">
      <c r="A125" s="57"/>
      <c r="B125" s="54"/>
      <c r="C125" s="466" t="s">
        <v>33</v>
      </c>
      <c r="D125" s="473"/>
      <c r="E125" s="50">
        <f>SUM(E123:E124)</f>
        <v>66477.213</v>
      </c>
      <c r="F125" s="56"/>
      <c r="G125" s="50">
        <f>SUM(G123:G124)</f>
        <v>74203.33350000001</v>
      </c>
    </row>
    <row r="127" spans="1:7" ht="13.5">
      <c r="A127" s="460" t="s">
        <v>524</v>
      </c>
      <c r="B127" s="461"/>
      <c r="C127" s="461"/>
      <c r="D127" s="461"/>
      <c r="E127" s="461"/>
      <c r="F127" s="461"/>
      <c r="G127" s="461"/>
    </row>
    <row r="128" spans="1:7" ht="13.5">
      <c r="A128" t="s">
        <v>525</v>
      </c>
      <c r="B128" s="62"/>
      <c r="C128" s="62"/>
      <c r="D128" s="62"/>
      <c r="E128" s="62"/>
      <c r="F128" s="62"/>
      <c r="G128" s="62"/>
    </row>
    <row r="129" ht="13.5">
      <c r="A129" t="s">
        <v>526</v>
      </c>
    </row>
    <row r="130" ht="13.5">
      <c r="A130" s="63" t="s">
        <v>528</v>
      </c>
    </row>
    <row r="131" ht="13.5">
      <c r="A131" t="s">
        <v>527</v>
      </c>
    </row>
    <row r="132" ht="13.5">
      <c r="A132" t="s">
        <v>529</v>
      </c>
    </row>
    <row r="133" ht="13.5">
      <c r="A133" s="63" t="s">
        <v>530</v>
      </c>
    </row>
  </sheetData>
  <sheetProtection/>
  <mergeCells count="30">
    <mergeCell ref="B35:D35"/>
    <mergeCell ref="A1:G1"/>
    <mergeCell ref="A2:G2"/>
    <mergeCell ref="A3:G3"/>
    <mergeCell ref="A4:G4"/>
    <mergeCell ref="A5:G5"/>
    <mergeCell ref="A70:G70"/>
    <mergeCell ref="A37:G37"/>
    <mergeCell ref="B40:D40"/>
    <mergeCell ref="A42:G42"/>
    <mergeCell ref="B51:D51"/>
    <mergeCell ref="A53:G53"/>
    <mergeCell ref="B57:D57"/>
    <mergeCell ref="C59:D59"/>
    <mergeCell ref="C60:D60"/>
    <mergeCell ref="C61:D61"/>
    <mergeCell ref="A68:G68"/>
    <mergeCell ref="A69:G69"/>
    <mergeCell ref="A127:G127"/>
    <mergeCell ref="A71:G71"/>
    <mergeCell ref="A72:G72"/>
    <mergeCell ref="B80:D80"/>
    <mergeCell ref="A82:G82"/>
    <mergeCell ref="A84:G84"/>
    <mergeCell ref="A113:G113"/>
    <mergeCell ref="A118:G118"/>
    <mergeCell ref="B121:D121"/>
    <mergeCell ref="C123:D123"/>
    <mergeCell ref="C124:D124"/>
    <mergeCell ref="C125:D125"/>
  </mergeCells>
  <printOptions/>
  <pageMargins left="0.7" right="0.7" top="0.75" bottom="0.75" header="0.3" footer="0.3"/>
  <pageSetup fitToHeight="2" fitToWidth="2" horizontalDpi="600" verticalDpi="600" orientation="portrait" scale="64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:H10"/>
    </sheetView>
  </sheetViews>
  <sheetFormatPr defaultColWidth="9.140625" defaultRowHeight="15"/>
  <cols>
    <col min="1" max="1" width="27.140625" style="0" customWidth="1"/>
    <col min="2" max="2" width="12.421875" style="0" bestFit="1" customWidth="1"/>
  </cols>
  <sheetData>
    <row r="1" ht="13.5">
      <c r="A1" s="23" t="s">
        <v>534</v>
      </c>
    </row>
    <row r="3" spans="1:2" ht="13.5">
      <c r="A3" s="64" t="s">
        <v>535</v>
      </c>
      <c r="B3" s="65">
        <f>'OBRA CIVIL'!F25</f>
        <v>119560.595580144</v>
      </c>
    </row>
    <row r="4" spans="1:2" ht="13.5">
      <c r="A4" s="66" t="s">
        <v>536</v>
      </c>
      <c r="B4" s="65">
        <f>MOBILIARIO!L136</f>
        <v>66553.831104</v>
      </c>
    </row>
    <row r="5" spans="1:2" ht="13.5">
      <c r="A5" s="67" t="s">
        <v>537</v>
      </c>
      <c r="B5" s="65">
        <f>EQUIPO!G125</f>
        <v>74203.33350000001</v>
      </c>
    </row>
    <row r="6" spans="1:2" ht="13.5">
      <c r="A6" s="111" t="s">
        <v>538</v>
      </c>
      <c r="B6" s="65">
        <f>B3*0.05</f>
        <v>5978.0297790072</v>
      </c>
    </row>
    <row r="7" ht="13.5">
      <c r="B7" s="18">
        <f>SUM(B3:B6)</f>
        <v>266295.7899631512</v>
      </c>
    </row>
    <row r="8" ht="13.5">
      <c r="A8" t="s">
        <v>539</v>
      </c>
    </row>
    <row r="10" spans="1:8" ht="45.75" customHeight="1">
      <c r="A10" s="477" t="s">
        <v>540</v>
      </c>
      <c r="B10" s="477"/>
      <c r="C10" s="477"/>
      <c r="D10" s="477"/>
      <c r="E10" s="477"/>
      <c r="F10" s="477"/>
      <c r="G10" s="477"/>
      <c r="H10" s="477"/>
    </row>
  </sheetData>
  <sheetProtection/>
  <mergeCells count="1">
    <mergeCell ref="A10:H10"/>
  </mergeCells>
  <printOptions/>
  <pageMargins left="0.7" right="0.7" top="0.95" bottom="0.75" header="0.3" footer="0.3"/>
  <pageSetup fitToHeight="1" fitToWidth="1" horizontalDpi="600" verticalDpi="600" orientation="landscape"/>
  <headerFooter alignWithMargins="0">
    <oddHeader>&amp;CPROYECTO AMPLIACION BIBLIOTECA
NOVIEMBRE DE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B1">
      <selection activeCell="H15" sqref="H15"/>
    </sheetView>
  </sheetViews>
  <sheetFormatPr defaultColWidth="9.140625" defaultRowHeight="15"/>
  <cols>
    <col min="1" max="1" width="18.7109375" style="0" bestFit="1" customWidth="1"/>
    <col min="2" max="2" width="14.28125" style="0" bestFit="1" customWidth="1"/>
    <col min="3" max="3" width="12.421875" style="0" bestFit="1" customWidth="1"/>
    <col min="4" max="4" width="14.28125" style="0" bestFit="1" customWidth="1"/>
    <col min="5" max="5" width="8.7109375" style="0" hidden="1" customWidth="1"/>
    <col min="6" max="6" width="15.7109375" style="0" hidden="1" customWidth="1"/>
    <col min="7" max="7" width="15.8515625" style="0" hidden="1" customWidth="1"/>
    <col min="8" max="8" width="79.7109375" style="0" customWidth="1"/>
    <col min="9" max="9" width="17.7109375" style="0" hidden="1" customWidth="1"/>
    <col min="10" max="10" width="12.28125" style="0" hidden="1" customWidth="1"/>
    <col min="11" max="11" width="0" style="0" hidden="1" customWidth="1"/>
  </cols>
  <sheetData>
    <row r="1" spans="5:7" ht="15">
      <c r="E1" s="421">
        <v>12.5</v>
      </c>
      <c r="F1" s="421"/>
      <c r="G1" s="421"/>
    </row>
    <row r="2" spans="2:7" ht="15">
      <c r="B2" s="478" t="s">
        <v>259</v>
      </c>
      <c r="C2" s="478"/>
      <c r="D2" s="478"/>
      <c r="E2" s="420"/>
      <c r="F2" s="429" t="s">
        <v>264</v>
      </c>
      <c r="G2" s="428"/>
    </row>
    <row r="3" spans="2:10" ht="15">
      <c r="B3" s="426" t="s">
        <v>541</v>
      </c>
      <c r="C3" s="426" t="s">
        <v>358</v>
      </c>
      <c r="D3" s="478" t="s">
        <v>266</v>
      </c>
      <c r="E3" s="478"/>
      <c r="F3" s="427" t="s">
        <v>268</v>
      </c>
      <c r="G3" s="427" t="s">
        <v>265</v>
      </c>
      <c r="H3" s="427" t="s">
        <v>542</v>
      </c>
      <c r="I3" s="424" t="s">
        <v>260</v>
      </c>
      <c r="J3" s="424" t="s">
        <v>261</v>
      </c>
    </row>
    <row r="4" spans="1:10" ht="15">
      <c r="A4" s="23" t="s">
        <v>543</v>
      </c>
      <c r="E4" s="24">
        <f>D8/$E$1</f>
        <v>159509.92507199998</v>
      </c>
      <c r="I4" s="65">
        <f>'Concentrado totales dlls'!B3</f>
        <v>119560.595580144</v>
      </c>
      <c r="J4" s="65">
        <f>I4-E4</f>
        <v>-39949.329491855984</v>
      </c>
    </row>
    <row r="5" spans="1:10" ht="15">
      <c r="A5" s="132" t="s">
        <v>253</v>
      </c>
      <c r="B5" s="422">
        <f>1359224.42+30000</f>
        <v>1389224.42</v>
      </c>
      <c r="C5" s="422">
        <f>B5*0.11</f>
        <v>152814.6862</v>
      </c>
      <c r="D5" s="422">
        <f>SUM(B5:C5)</f>
        <v>1542039.1061999998</v>
      </c>
      <c r="E5" s="65">
        <f>D5/$E$1</f>
        <v>123363.12849599999</v>
      </c>
      <c r="F5" s="65">
        <f>('OBRA CIVIL'!F10+'OBRA CIVIL'!F11+'OBRA CIVIL'!F12+'OBRA CIVIL'!F13+'OBRA CIVIL'!F14+'OBRA CIVIL'!F15+'OBRA CIVIL'!F17+'OBRA CIVIL'!F18-90118.39)*1.11</f>
        <v>1162236.2818518002</v>
      </c>
      <c r="G5" s="65">
        <f>F5-D5</f>
        <v>-379802.82434819965</v>
      </c>
      <c r="H5" s="132" t="s">
        <v>546</v>
      </c>
      <c r="J5" s="18"/>
    </row>
    <row r="6" spans="1:10" ht="15">
      <c r="A6" s="132" t="s">
        <v>119</v>
      </c>
      <c r="B6" s="422">
        <f>(16738*12.5)+(2933.67)+(10661.2)</f>
        <v>222819.87000000002</v>
      </c>
      <c r="C6" s="422">
        <f>B6*0.11</f>
        <v>24510.1857</v>
      </c>
      <c r="D6" s="422">
        <f>SUM(B6:C6)</f>
        <v>247330.05570000003</v>
      </c>
      <c r="E6" s="65">
        <f>D6/$E$1</f>
        <v>19786.404456000004</v>
      </c>
      <c r="F6" s="65">
        <f>('OBRA CIVIL'!M19)*1.11</f>
        <v>232239.75000000003</v>
      </c>
      <c r="G6" s="65">
        <f>F6-D6</f>
        <v>-15090.305699999997</v>
      </c>
      <c r="H6" s="132" t="s">
        <v>547</v>
      </c>
      <c r="J6" s="18"/>
    </row>
    <row r="7" spans="1:10" ht="15">
      <c r="A7" s="132" t="s">
        <v>257</v>
      </c>
      <c r="B7" s="422">
        <v>184238.65</v>
      </c>
      <c r="C7" s="422">
        <f>B7*0.11</f>
        <v>20266.2515</v>
      </c>
      <c r="D7" s="422">
        <f>SUM(B7:C7)</f>
        <v>204504.90149999998</v>
      </c>
      <c r="E7" s="65">
        <f>D7/$E$1</f>
        <v>16360.392119999999</v>
      </c>
      <c r="F7" s="65">
        <f>(90118.39)*1.11</f>
        <v>100031.41290000001</v>
      </c>
      <c r="G7" s="65">
        <f>F7-D7</f>
        <v>-104473.48859999997</v>
      </c>
      <c r="H7" s="132" t="s">
        <v>548</v>
      </c>
      <c r="J7" s="18"/>
    </row>
    <row r="8" spans="4:10" ht="15">
      <c r="D8" s="24">
        <f>SUM(D5:D7)</f>
        <v>1993874.0633999996</v>
      </c>
      <c r="E8" s="24">
        <f>SUM(E5:E7)</f>
        <v>159509.92507199998</v>
      </c>
      <c r="F8" s="24">
        <f>SUM(F5:F7)</f>
        <v>1494507.4447518003</v>
      </c>
      <c r="G8" s="18">
        <f>SUM(G5:G7)</f>
        <v>-499366.61864819966</v>
      </c>
      <c r="J8" s="18"/>
    </row>
    <row r="9" spans="5:10" ht="15">
      <c r="E9" s="18"/>
      <c r="F9" s="18"/>
      <c r="G9" s="18"/>
      <c r="J9" s="18"/>
    </row>
    <row r="10" spans="1:10" ht="15">
      <c r="A10" s="23" t="s">
        <v>34</v>
      </c>
      <c r="E10" s="24">
        <f>D17/$E$1</f>
        <v>70534.054008</v>
      </c>
      <c r="F10" s="24"/>
      <c r="G10" s="24"/>
      <c r="I10" s="65">
        <f>'Concentrado totales dlls'!B4</f>
        <v>66553.831104</v>
      </c>
      <c r="J10" s="65">
        <f>I10-E10</f>
        <v>-3980.2229040000093</v>
      </c>
    </row>
    <row r="11" spans="1:10" ht="15">
      <c r="A11" s="132" t="s">
        <v>254</v>
      </c>
      <c r="B11" s="422">
        <v>185790.61</v>
      </c>
      <c r="C11" s="422">
        <f>B11*0.11</f>
        <v>20436.967099999998</v>
      </c>
      <c r="D11" s="422">
        <f>B11+C11</f>
        <v>206227.5771</v>
      </c>
      <c r="E11" s="65">
        <f>D11/$E$1</f>
        <v>16498.206168</v>
      </c>
      <c r="F11" s="65">
        <f>MOBILIARIO!J131</f>
        <v>244022.4</v>
      </c>
      <c r="G11" s="65">
        <f>F11-D11</f>
        <v>37794.8229</v>
      </c>
      <c r="H11" s="132"/>
      <c r="J11" s="18"/>
    </row>
    <row r="12" spans="1:10" ht="15">
      <c r="A12" s="132" t="s">
        <v>118</v>
      </c>
      <c r="B12" s="422">
        <v>228698</v>
      </c>
      <c r="C12" s="422">
        <f>B12*0.11</f>
        <v>25156.78</v>
      </c>
      <c r="D12" s="422">
        <f>B12+C12</f>
        <v>253854.78</v>
      </c>
      <c r="E12" s="65">
        <f>D12/$E$1</f>
        <v>20308.3824</v>
      </c>
      <c r="F12" s="65">
        <f>MOBILIARIO!L131</f>
        <v>283291.1475</v>
      </c>
      <c r="G12" s="65">
        <f>F12-D12</f>
        <v>29436.367500000022</v>
      </c>
      <c r="H12" s="132"/>
      <c r="J12" s="18"/>
    </row>
    <row r="13" spans="1:10" ht="15">
      <c r="A13" s="132" t="s">
        <v>117</v>
      </c>
      <c r="B13" s="422">
        <f>174750+46060</f>
        <v>220810</v>
      </c>
      <c r="C13" s="422">
        <f>B13*0.11</f>
        <v>24289.1</v>
      </c>
      <c r="D13" s="422">
        <f>B13+C13</f>
        <v>245099.1</v>
      </c>
      <c r="E13" s="65">
        <f>D13/$E$1</f>
        <v>19607.928</v>
      </c>
      <c r="F13" s="65">
        <f>MOBILIARIO!O131</f>
        <v>193972.5</v>
      </c>
      <c r="G13" s="65">
        <f>F13-D13</f>
        <v>-51126.600000000006</v>
      </c>
      <c r="H13" s="132" t="s">
        <v>549</v>
      </c>
      <c r="J13" s="18"/>
    </row>
    <row r="14" spans="1:10" ht="15">
      <c r="A14" s="132" t="s">
        <v>258</v>
      </c>
      <c r="B14" s="422">
        <v>5230</v>
      </c>
      <c r="C14" s="422">
        <f>B14*0.11</f>
        <v>575.3</v>
      </c>
      <c r="D14" s="422">
        <f>B14+C14</f>
        <v>5805.3</v>
      </c>
      <c r="E14" s="65">
        <f>D14/$E$1</f>
        <v>464.42400000000004</v>
      </c>
      <c r="F14" s="65">
        <f>MOBILIARIO!N131</f>
        <v>6124.98</v>
      </c>
      <c r="G14" s="65">
        <f>F14-D14</f>
        <v>319.6799999999994</v>
      </c>
      <c r="H14" s="132"/>
      <c r="J14" s="18"/>
    </row>
    <row r="15" spans="1:10" ht="15">
      <c r="A15" s="132" t="s">
        <v>119</v>
      </c>
      <c r="B15" s="422">
        <f>93673.8+(3108*12.5)+(1100*12.5)+(600*12.5)</f>
        <v>153773.8</v>
      </c>
      <c r="C15" s="422">
        <f>B15*0.11</f>
        <v>16915.118</v>
      </c>
      <c r="D15" s="422">
        <f>B15+C15</f>
        <v>170688.91799999998</v>
      </c>
      <c r="E15" s="65">
        <f>D15/$E$1</f>
        <v>13655.113439999997</v>
      </c>
      <c r="F15" s="65">
        <f>MOBILIARIO!M131</f>
        <v>100907.60250000001</v>
      </c>
      <c r="G15" s="65">
        <f>F15-D15</f>
        <v>-69781.31549999997</v>
      </c>
      <c r="H15" s="132" t="s">
        <v>550</v>
      </c>
      <c r="J15" s="18"/>
    </row>
    <row r="16" spans="1:10" ht="15">
      <c r="A16" s="77" t="s">
        <v>267</v>
      </c>
      <c r="B16" s="422">
        <v>0</v>
      </c>
      <c r="C16" s="422">
        <v>0</v>
      </c>
      <c r="D16" s="422">
        <v>0</v>
      </c>
      <c r="E16" s="65"/>
      <c r="F16" s="65">
        <f>MOBILIARIO!P131</f>
        <v>3604.2588</v>
      </c>
      <c r="G16" s="65">
        <f>F16-D16</f>
        <v>3604.2588</v>
      </c>
      <c r="H16" s="132"/>
      <c r="J16" s="18"/>
    </row>
    <row r="17" spans="4:10" ht="15">
      <c r="D17" s="423">
        <f>SUM(D11:D15)</f>
        <v>881675.6751</v>
      </c>
      <c r="E17" s="423">
        <f>SUM(E11:E15)</f>
        <v>70534.05400799999</v>
      </c>
      <c r="F17" s="423">
        <f>SUM(F11:F15)</f>
        <v>828318.63</v>
      </c>
      <c r="G17" s="18">
        <f>SUM(G11:G15)</f>
        <v>-53357.04509999995</v>
      </c>
      <c r="J17" s="18"/>
    </row>
    <row r="18" spans="4:10" ht="15">
      <c r="D18" s="423"/>
      <c r="G18" s="18"/>
      <c r="H18" s="149"/>
      <c r="J18" s="18"/>
    </row>
    <row r="19" spans="1:10" ht="13.5">
      <c r="A19" s="23" t="s">
        <v>255</v>
      </c>
      <c r="E19" s="24">
        <f>D21/$E$1</f>
        <v>4877.34</v>
      </c>
      <c r="F19" s="24"/>
      <c r="G19" s="24"/>
      <c r="I19" s="65">
        <f>EQUIPO!G120:G120</f>
        <v>5580</v>
      </c>
      <c r="J19" s="65">
        <f>I19-E19</f>
        <v>702.6599999999999</v>
      </c>
    </row>
    <row r="20" spans="1:8" ht="13.5">
      <c r="A20" s="132" t="s">
        <v>256</v>
      </c>
      <c r="B20" s="422">
        <f>4394*12.5</f>
        <v>54925</v>
      </c>
      <c r="C20" s="422">
        <f>B20*0.11</f>
        <v>6041.75</v>
      </c>
      <c r="D20" s="422">
        <f>SUM(B20:C20)</f>
        <v>60966.75</v>
      </c>
      <c r="E20" s="65">
        <f>D20</f>
        <v>60966.75</v>
      </c>
      <c r="F20" s="65">
        <f>(EQUIPO!G120*1.11)*12.5</f>
        <v>77422.5</v>
      </c>
      <c r="G20" s="65">
        <f>F20-D20</f>
        <v>16455.75</v>
      </c>
      <c r="H20" s="132"/>
    </row>
    <row r="21" spans="4:8" ht="13.5">
      <c r="D21" s="423">
        <f>SUM(D20)</f>
        <v>60966.75</v>
      </c>
      <c r="E21" s="423">
        <f>SUM(E20)</f>
        <v>60966.75</v>
      </c>
      <c r="F21" s="423">
        <f>SUM(F20)</f>
        <v>77422.5</v>
      </c>
      <c r="G21" s="18">
        <f>SUM(G20)</f>
        <v>16455.75</v>
      </c>
      <c r="H21" s="18"/>
    </row>
    <row r="22" ht="13.5">
      <c r="G22" s="18"/>
    </row>
    <row r="23" spans="1:10" ht="13.5">
      <c r="A23" s="23" t="s">
        <v>544</v>
      </c>
      <c r="I23" s="65">
        <f>'Concentrado totales dlls'!B6</f>
        <v>5978.0297790072</v>
      </c>
      <c r="J23" s="65">
        <f>I23</f>
        <v>5978.0297790072</v>
      </c>
    </row>
    <row r="24" spans="1:8" ht="13.5">
      <c r="A24" s="132"/>
      <c r="B24" s="132"/>
      <c r="C24" s="132"/>
      <c r="D24" s="132"/>
      <c r="F24" s="65">
        <f>('Concentrado totales dlls'!B6)*12.5</f>
        <v>74725.37223759</v>
      </c>
      <c r="G24" s="65">
        <f>F24</f>
        <v>74725.37223759</v>
      </c>
      <c r="H24" s="132"/>
    </row>
    <row r="26" spans="9:11" ht="13.5">
      <c r="I26" t="s">
        <v>262</v>
      </c>
      <c r="J26" s="425">
        <f>SUM(J4:J25)</f>
        <v>-37248.86261684879</v>
      </c>
      <c r="K26" t="s">
        <v>263</v>
      </c>
    </row>
    <row r="27" spans="3:7" ht="13.5">
      <c r="C27" t="s">
        <v>545</v>
      </c>
      <c r="D27" s="18">
        <f>D8+D17+D21</f>
        <v>2936516.4884999995</v>
      </c>
      <c r="F27" s="23" t="s">
        <v>269</v>
      </c>
      <c r="G27" s="425">
        <f>G8+G17+G21+F24</f>
        <v>-461542.54151060956</v>
      </c>
    </row>
    <row r="28" ht="13.5">
      <c r="G28" s="18"/>
    </row>
  </sheetData>
  <sheetProtection/>
  <mergeCells count="2">
    <mergeCell ref="D3:E3"/>
    <mergeCell ref="B2:D2"/>
  </mergeCells>
  <printOptions/>
  <pageMargins left="0.7" right="0.7" top="0.75" bottom="0.75" header="0.3" footer="0.3"/>
  <pageSetup fitToHeight="1" fitToWidth="1" horizontalDpi="600" verticalDpi="600" orientation="landscape" scale="7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jorge.garcia</dc:creator>
  <cp:keywords/>
  <dc:description/>
  <cp:lastModifiedBy>Ricardo Iñiguez</cp:lastModifiedBy>
  <cp:lastPrinted>2011-02-08T21:20:28Z</cp:lastPrinted>
  <dcterms:created xsi:type="dcterms:W3CDTF">2010-11-02T17:44:15Z</dcterms:created>
  <dcterms:modified xsi:type="dcterms:W3CDTF">2011-11-15T20:38:09Z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